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4.xml" ContentType="application/vnd.openxmlformats-officedocument.spreadsheetml.pivotCacheRecords+xml"/>
  <Override PartName="/xl/pivotCache/pivotCacheDefinition5.xml" ContentType="application/vnd.openxmlformats-officedocument.spreadsheetml.pivotCacheDefinition+xml"/>
  <Override PartName="/xl/pivotCache/pivotCacheRecords5.xml" ContentType="application/vnd.openxmlformats-officedocument.spreadsheetml.pivotCacheRecords+xml"/>
  <Override PartName="/xl/pivotCache/pivotCacheDefinition6.xml" ContentType="application/vnd.openxmlformats-officedocument.spreadsheetml.pivotCacheDefinition+xml"/>
  <Override PartName="/xl/pivotCache/pivotCacheRecords6.xml" ContentType="application/vnd.openxmlformats-officedocument.spreadsheetml.pivotCacheRecords+xml"/>
  <Override PartName="/xl/pivotCache/pivotCacheDefinition7.xml" ContentType="application/vnd.openxmlformats-officedocument.spreadsheetml.pivotCacheDefinition+xml"/>
  <Override PartName="/xl/pivotCache/pivotCacheRecords7.xml" ContentType="application/vnd.openxmlformats-officedocument.spreadsheetml.pivotCacheRecords+xml"/>
  <Override PartName="/xl/pivotCache/pivotCacheDefinition8.xml" ContentType="application/vnd.openxmlformats-officedocument.spreadsheetml.pivotCacheDefinition+xml"/>
  <Override PartName="/xl/pivotCache/pivotCacheRecords8.xml" ContentType="application/vnd.openxmlformats-officedocument.spreadsheetml.pivotCacheRecords+xml"/>
  <Override PartName="/xl/pivotCache/pivotCacheDefinition9.xml" ContentType="application/vnd.openxmlformats-officedocument.spreadsheetml.pivotCacheDefinition+xml"/>
  <Override PartName="/xl/pivotCache/pivotCacheRecords9.xml" ContentType="application/vnd.openxmlformats-officedocument.spreadsheetml.pivotCacheRecords+xml"/>
  <Override PartName="/xl/pivotCache/pivotCacheDefinition10.xml" ContentType="application/vnd.openxmlformats-officedocument.spreadsheetml.pivotCacheDefinition+xml"/>
  <Override PartName="/xl/pivotCache/pivotCacheRecords10.xml" ContentType="application/vnd.openxmlformats-officedocument.spreadsheetml.pivotCacheRecords+xml"/>
  <Override PartName="/xl/pivotCache/pivotCacheDefinition11.xml" ContentType="application/vnd.openxmlformats-officedocument.spreadsheetml.pivotCacheDefinition+xml"/>
  <Override PartName="/xl/pivotCache/pivotCacheRecords11.xml" ContentType="application/vnd.openxmlformats-officedocument.spreadsheetml.pivotCacheRecords+xml"/>
  <Override PartName="/xl/pivotCache/pivotCacheDefinition12.xml" ContentType="application/vnd.openxmlformats-officedocument.spreadsheetml.pivotCacheDefinition+xml"/>
  <Override PartName="/xl/pivotCache/pivotCacheRecords12.xml" ContentType="application/vnd.openxmlformats-officedocument.spreadsheetml.pivotCacheRecords+xml"/>
  <Override PartName="/xl/pivotCache/pivotCacheDefinition13.xml" ContentType="application/vnd.openxmlformats-officedocument.spreadsheetml.pivotCacheDefinition+xml"/>
  <Override PartName="/xl/pivotCache/pivotCacheRecords13.xml" ContentType="application/vnd.openxmlformats-officedocument.spreadsheetml.pivotCacheRecords+xml"/>
  <Override PartName="/xl/pivotCache/pivotCacheDefinition14.xml" ContentType="application/vnd.openxmlformats-officedocument.spreadsheetml.pivotCacheDefinition+xml"/>
  <Override PartName="/xl/pivotCache/pivotCacheRecords14.xml" ContentType="application/vnd.openxmlformats-officedocument.spreadsheetml.pivotCacheRecords+xml"/>
  <Override PartName="/xl/pivotCache/pivotCacheDefinition15.xml" ContentType="application/vnd.openxmlformats-officedocument.spreadsheetml.pivotCacheDefinition+xml"/>
  <Override PartName="/xl/pivotCache/pivotCacheRecords15.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omments1.xml" ContentType="application/vnd.openxmlformats-officedocument.spreadsheetml.comments+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ml.chartshape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pivotTables/pivotTable10.xml" ContentType="application/vnd.openxmlformats-officedocument.spreadsheetml.pivotTable+xml"/>
  <Override PartName="/xl/pivotTables/pivotTable11.xml" ContentType="application/vnd.openxmlformats-officedocument.spreadsheetml.pivotTable+xml"/>
  <Override PartName="/xl/pivotTables/pivotTable12.xml" ContentType="application/vnd.openxmlformats-officedocument.spreadsheetml.pivotTable+xml"/>
  <Override PartName="/xl/pivotTables/pivotTable13.xml" ContentType="application/vnd.openxmlformats-officedocument.spreadsheetml.pivotTable+xml"/>
  <Override PartName="/xl/pivotTables/pivotTable14.xml" ContentType="application/vnd.openxmlformats-officedocument.spreadsheetml.pivotTable+xml"/>
  <Override PartName="/xl/pivotTables/pivotTable15.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24226"/>
  <mc:AlternateContent xmlns:mc="http://schemas.openxmlformats.org/markup-compatibility/2006">
    <mc:Choice Requires="x15">
      <x15ac:absPath xmlns:x15ac="http://schemas.microsoft.com/office/spreadsheetml/2010/11/ac" url="D:\shaymaa 13-11-2023\الاحصاءات البيئية للعراق المؤشرات الزراعية لسنة 2022\نسخة بعد تعديل اللجنة\"/>
    </mc:Choice>
  </mc:AlternateContent>
  <bookViews>
    <workbookView xWindow="480" yWindow="468" windowWidth="9060" windowHeight="3696" tabRatio="757" activeTab="3"/>
  </bookViews>
  <sheets>
    <sheet name="1أ" sheetId="22" r:id="rId1"/>
    <sheet name="1 ب (2)" sheetId="44" r:id="rId2"/>
    <sheet name="1ج" sheetId="39" r:id="rId3"/>
    <sheet name="1 د" sheetId="40" r:id="rId4"/>
    <sheet name="2" sheetId="17" r:id="rId5"/>
    <sheet name="3" sheetId="35" r:id="rId6"/>
    <sheet name="4" sheetId="36" r:id="rId7"/>
    <sheet name="5" sheetId="26" r:id="rId8"/>
    <sheet name="6" sheetId="37" r:id="rId9"/>
    <sheet name="7" sheetId="31" r:id="rId10"/>
    <sheet name="8" sheetId="3" r:id="rId11"/>
    <sheet name="9" sheetId="43" r:id="rId12"/>
    <sheet name="10" sheetId="33" r:id="rId13"/>
    <sheet name="Sheet1" sheetId="42" r:id="rId14"/>
    <sheet name="كمية المبيدات تفصيلي" sheetId="38" r:id="rId15"/>
  </sheets>
  <definedNames>
    <definedName name="_xlnm._FilterDatabase" localSheetId="10" hidden="1">'8'!$M$6:$N$6</definedName>
    <definedName name="_xlnm.Print_Area" localSheetId="1">'1 ب (2)'!$A$1:$K$28</definedName>
    <definedName name="_xlnm.Print_Area" localSheetId="3">'1 د'!$A$1:$E$22</definedName>
    <definedName name="_xlnm.Print_Area" localSheetId="0">'1أ'!$A$1:$M$36</definedName>
    <definedName name="_xlnm.Print_Area" localSheetId="2">'1ج'!$A$1:$K$24</definedName>
    <definedName name="_xlnm.Print_Area" localSheetId="4">'2'!$A$1:$I$37</definedName>
    <definedName name="_xlnm.Print_Area" localSheetId="5">'3'!$A$1:$E$22</definedName>
    <definedName name="_xlnm.Print_Area" localSheetId="6">'4'!$A$1:$I$38</definedName>
    <definedName name="_xlnm.Print_Area" localSheetId="7">'5'!$A$1:$G$25</definedName>
    <definedName name="_xlnm.Print_Area" localSheetId="8">'6'!$A$1:$J$31</definedName>
    <definedName name="_xlnm.Print_Area" localSheetId="9">'7'!$A$1:$T$29</definedName>
    <definedName name="_xlnm.Print_Area" localSheetId="10">'8'!$A$1:$L$28</definedName>
    <definedName name="_xlnm.Print_Area" localSheetId="11">'9'!$A$1:$K$33</definedName>
  </definedNames>
  <calcPr calcId="162913"/>
  <pivotCaches>
    <pivotCache cacheId="0" r:id="rId16"/>
    <pivotCache cacheId="1" r:id="rId17"/>
    <pivotCache cacheId="2" r:id="rId18"/>
    <pivotCache cacheId="3" r:id="rId19"/>
    <pivotCache cacheId="4" r:id="rId20"/>
    <pivotCache cacheId="5" r:id="rId21"/>
    <pivotCache cacheId="6" r:id="rId22"/>
    <pivotCache cacheId="7" r:id="rId23"/>
    <pivotCache cacheId="8" r:id="rId24"/>
    <pivotCache cacheId="9" r:id="rId25"/>
    <pivotCache cacheId="10" r:id="rId26"/>
    <pivotCache cacheId="11" r:id="rId27"/>
    <pivotCache cacheId="12" r:id="rId28"/>
    <pivotCache cacheId="13" r:id="rId29"/>
    <pivotCache cacheId="14" r:id="rId30"/>
  </pivotCaches>
</workbook>
</file>

<file path=xl/calcChain.xml><?xml version="1.0" encoding="utf-8"?>
<calcChain xmlns="http://schemas.openxmlformats.org/spreadsheetml/2006/main">
  <c r="J8" i="44" l="1"/>
  <c r="J9" i="44"/>
  <c r="J10" i="44"/>
  <c r="J11" i="44"/>
  <c r="J12" i="44"/>
  <c r="J13" i="44"/>
  <c r="J14" i="44"/>
  <c r="J15" i="44"/>
  <c r="J16" i="44"/>
  <c r="J17" i="44"/>
  <c r="J18" i="44"/>
  <c r="J19" i="44"/>
  <c r="J20" i="44"/>
  <c r="J21" i="44"/>
  <c r="J22" i="44"/>
  <c r="J23" i="44"/>
  <c r="H23" i="44"/>
  <c r="I23" i="44"/>
  <c r="G23" i="44"/>
  <c r="H22" i="44"/>
  <c r="I22" i="44"/>
  <c r="G22" i="44"/>
  <c r="H21" i="44"/>
  <c r="I21" i="44"/>
  <c r="G21" i="44"/>
  <c r="H20" i="44"/>
  <c r="I20" i="44"/>
  <c r="G20" i="44"/>
  <c r="H19" i="44"/>
  <c r="I19" i="44"/>
  <c r="G19" i="44"/>
  <c r="H18" i="44"/>
  <c r="I18" i="44"/>
  <c r="G18" i="44"/>
  <c r="H17" i="44"/>
  <c r="I17" i="44"/>
  <c r="G17" i="44"/>
  <c r="G17" i="22"/>
  <c r="H16" i="44"/>
  <c r="I16" i="44"/>
  <c r="G16" i="44"/>
  <c r="H15" i="44"/>
  <c r="I15" i="44"/>
  <c r="G15" i="44"/>
  <c r="H14" i="44"/>
  <c r="I14" i="44"/>
  <c r="G14" i="44"/>
  <c r="H13" i="44"/>
  <c r="I13" i="44"/>
  <c r="G13" i="44"/>
  <c r="H12" i="44"/>
  <c r="I12" i="44"/>
  <c r="G12" i="44"/>
  <c r="H11" i="44"/>
  <c r="I11" i="44"/>
  <c r="G11" i="44"/>
  <c r="H10" i="44"/>
  <c r="I10" i="44"/>
  <c r="G10" i="44"/>
  <c r="H9" i="44"/>
  <c r="I9" i="44"/>
  <c r="G9" i="44"/>
  <c r="H8" i="44"/>
  <c r="I8" i="44"/>
  <c r="G8" i="44"/>
  <c r="E22" i="44" l="1"/>
  <c r="D22" i="44"/>
  <c r="C22" i="44"/>
  <c r="E21" i="44"/>
  <c r="D21" i="44"/>
  <c r="C21" i="44"/>
  <c r="E20" i="44"/>
  <c r="D20" i="44"/>
  <c r="C20" i="44"/>
  <c r="E19" i="44"/>
  <c r="D19" i="44"/>
  <c r="C19" i="44"/>
  <c r="E18" i="44"/>
  <c r="D18" i="44"/>
  <c r="C18" i="44"/>
  <c r="E17" i="44"/>
  <c r="D17" i="44"/>
  <c r="C17" i="44"/>
  <c r="E16" i="44"/>
  <c r="D16" i="44"/>
  <c r="C16" i="44"/>
  <c r="E15" i="44"/>
  <c r="D15" i="44"/>
  <c r="C15" i="44"/>
  <c r="E14" i="44"/>
  <c r="D14" i="44"/>
  <c r="C14" i="44"/>
  <c r="E13" i="44"/>
  <c r="D13" i="44"/>
  <c r="C13" i="44"/>
  <c r="E12" i="44"/>
  <c r="D12" i="44"/>
  <c r="C12" i="44"/>
  <c r="E11" i="44"/>
  <c r="D11" i="44"/>
  <c r="C11" i="44"/>
  <c r="E10" i="44"/>
  <c r="D10" i="44"/>
  <c r="C10" i="44"/>
  <c r="E9" i="44"/>
  <c r="D9" i="44"/>
  <c r="C9" i="44"/>
  <c r="E8" i="44"/>
  <c r="D8" i="44"/>
  <c r="C8" i="44"/>
  <c r="L8" i="22" l="1"/>
  <c r="C31" i="36" l="1"/>
  <c r="I10" i="43" l="1"/>
  <c r="I9" i="43"/>
  <c r="I11" i="43"/>
  <c r="I12" i="43"/>
  <c r="I13" i="43"/>
  <c r="I14" i="43"/>
  <c r="I15" i="43"/>
  <c r="I16" i="43"/>
  <c r="I17" i="43"/>
  <c r="I18" i="43"/>
  <c r="I19" i="43"/>
  <c r="I20" i="43"/>
  <c r="I21" i="43"/>
  <c r="I22" i="43"/>
  <c r="I8" i="43"/>
  <c r="E8" i="3" l="1"/>
  <c r="I8" i="3"/>
  <c r="J8" i="3"/>
  <c r="K8" i="3"/>
  <c r="E9" i="3"/>
  <c r="J9" i="3" s="1"/>
  <c r="K9" i="3" s="1"/>
  <c r="I9" i="3"/>
  <c r="E10" i="3"/>
  <c r="I10" i="3"/>
  <c r="J10" i="3"/>
  <c r="K10" i="3"/>
  <c r="E11" i="3"/>
  <c r="J11" i="3" s="1"/>
  <c r="K11" i="3" s="1"/>
  <c r="I11" i="3"/>
  <c r="C12" i="3"/>
  <c r="C23" i="3" s="1"/>
  <c r="E23" i="3" s="1"/>
  <c r="D12" i="3"/>
  <c r="D23" i="3" s="1"/>
  <c r="E12" i="3"/>
  <c r="J12" i="3" s="1"/>
  <c r="K12" i="3" s="1"/>
  <c r="G12" i="3"/>
  <c r="G23" i="3" s="1"/>
  <c r="I23" i="3" s="1"/>
  <c r="I12" i="3"/>
  <c r="E13" i="3"/>
  <c r="I13" i="3"/>
  <c r="J13" i="3"/>
  <c r="K13" i="3"/>
  <c r="E14" i="3"/>
  <c r="J14" i="3" s="1"/>
  <c r="K14" i="3" s="1"/>
  <c r="I14" i="3"/>
  <c r="E15" i="3"/>
  <c r="I15" i="3"/>
  <c r="J15" i="3"/>
  <c r="K15" i="3"/>
  <c r="E16" i="3"/>
  <c r="J16" i="3" s="1"/>
  <c r="K16" i="3" s="1"/>
  <c r="I16" i="3"/>
  <c r="E17" i="3"/>
  <c r="I17" i="3"/>
  <c r="J17" i="3"/>
  <c r="K17" i="3"/>
  <c r="E18" i="3"/>
  <c r="J18" i="3" s="1"/>
  <c r="K18" i="3" s="1"/>
  <c r="I18" i="3"/>
  <c r="E19" i="3"/>
  <c r="I19" i="3"/>
  <c r="J19" i="3"/>
  <c r="K19" i="3"/>
  <c r="E20" i="3"/>
  <c r="J20" i="3" s="1"/>
  <c r="K20" i="3" s="1"/>
  <c r="I20" i="3"/>
  <c r="E21" i="3"/>
  <c r="I21" i="3"/>
  <c r="J21" i="3"/>
  <c r="K21" i="3"/>
  <c r="E22" i="3"/>
  <c r="J22" i="3" s="1"/>
  <c r="K22" i="3" s="1"/>
  <c r="I22" i="3"/>
  <c r="H23" i="3"/>
  <c r="K23" i="3" l="1"/>
  <c r="J23" i="3"/>
  <c r="R9" i="31"/>
  <c r="S9" i="31"/>
  <c r="R10" i="31"/>
  <c r="S10" i="31"/>
  <c r="R11" i="31"/>
  <c r="S11" i="31"/>
  <c r="R12" i="31"/>
  <c r="S12" i="31"/>
  <c r="R13" i="31"/>
  <c r="S13" i="31"/>
  <c r="R14" i="31"/>
  <c r="S14" i="31"/>
  <c r="R15" i="31"/>
  <c r="S15" i="31"/>
  <c r="R16" i="31"/>
  <c r="S16" i="31"/>
  <c r="R17" i="31"/>
  <c r="S17" i="31"/>
  <c r="R18" i="31"/>
  <c r="S18" i="31"/>
  <c r="R19" i="31"/>
  <c r="S19" i="31"/>
  <c r="R20" i="31"/>
  <c r="S20" i="31"/>
  <c r="R21" i="31"/>
  <c r="S21" i="31"/>
  <c r="R22" i="31"/>
  <c r="S22" i="31"/>
  <c r="S8" i="31"/>
  <c r="R8" i="31"/>
  <c r="C23" i="31"/>
  <c r="D23" i="31"/>
  <c r="S23" i="31" l="1"/>
  <c r="R23" i="31"/>
  <c r="O23" i="31"/>
  <c r="P23" i="31"/>
  <c r="F8" i="37" l="1"/>
  <c r="F9" i="37"/>
  <c r="F10" i="37"/>
  <c r="F11" i="37"/>
  <c r="F12" i="37"/>
  <c r="F13" i="37"/>
  <c r="F14" i="37"/>
  <c r="F15" i="37"/>
  <c r="F16" i="37"/>
  <c r="F17" i="37"/>
  <c r="F18" i="37"/>
  <c r="F19" i="37"/>
  <c r="F20" i="37"/>
  <c r="F21" i="37"/>
  <c r="F22" i="37"/>
  <c r="C23" i="37"/>
  <c r="D23" i="37"/>
  <c r="F23" i="37" s="1"/>
  <c r="E23" i="37"/>
  <c r="G23" i="37"/>
  <c r="H9" i="43" l="1"/>
  <c r="H10" i="43"/>
  <c r="H11" i="43"/>
  <c r="H12" i="43"/>
  <c r="H13" i="43"/>
  <c r="H14" i="43"/>
  <c r="H15" i="43"/>
  <c r="H16" i="43"/>
  <c r="H17" i="43"/>
  <c r="H18" i="43"/>
  <c r="H19" i="43"/>
  <c r="H20" i="43"/>
  <c r="H21" i="43"/>
  <c r="H22" i="43"/>
  <c r="H8" i="43"/>
  <c r="F9" i="43"/>
  <c r="F10" i="43"/>
  <c r="F11" i="43"/>
  <c r="F12" i="43"/>
  <c r="F13" i="43"/>
  <c r="F14" i="43"/>
  <c r="F15" i="43"/>
  <c r="F16" i="43"/>
  <c r="F17" i="43"/>
  <c r="F18" i="43"/>
  <c r="F19" i="43"/>
  <c r="F20" i="43"/>
  <c r="F21" i="43"/>
  <c r="F22" i="43"/>
  <c r="F8" i="43"/>
  <c r="D9" i="43"/>
  <c r="D10" i="43"/>
  <c r="D11" i="43"/>
  <c r="D12" i="43"/>
  <c r="D13" i="43"/>
  <c r="D14" i="43"/>
  <c r="D15" i="43"/>
  <c r="D16" i="43"/>
  <c r="D17" i="43"/>
  <c r="D18" i="43"/>
  <c r="D19" i="43"/>
  <c r="D20" i="43"/>
  <c r="D21" i="43"/>
  <c r="D22" i="43"/>
  <c r="D8" i="43"/>
  <c r="D23" i="43" l="1"/>
  <c r="F23" i="43"/>
  <c r="H23" i="43"/>
  <c r="N20" i="3"/>
  <c r="D43" i="36"/>
  <c r="D44" i="36" s="1"/>
  <c r="D45" i="36" s="1"/>
  <c r="F46" i="36"/>
  <c r="C43" i="36"/>
  <c r="C44" i="36" s="1"/>
  <c r="C45" i="36" s="1"/>
  <c r="H25" i="36" l="1"/>
  <c r="H26" i="36"/>
  <c r="H27" i="36"/>
  <c r="H28" i="36"/>
  <c r="H9" i="36"/>
  <c r="H10" i="36"/>
  <c r="H11" i="36"/>
  <c r="H12" i="36"/>
  <c r="H13" i="36"/>
  <c r="H14" i="36"/>
  <c r="H15" i="36"/>
  <c r="H16" i="36"/>
  <c r="H17" i="36"/>
  <c r="H18" i="36"/>
  <c r="H19" i="36"/>
  <c r="H20" i="36"/>
  <c r="H21" i="36"/>
  <c r="H22" i="36"/>
  <c r="H8" i="36"/>
  <c r="H23" i="36" l="1"/>
  <c r="H29" i="36"/>
  <c r="D20" i="33"/>
  <c r="E20" i="33"/>
  <c r="C20" i="33"/>
  <c r="D19" i="33"/>
  <c r="E19" i="33"/>
  <c r="C19" i="33"/>
  <c r="D18" i="33"/>
  <c r="E18" i="33"/>
  <c r="C18" i="33"/>
  <c r="D17" i="33"/>
  <c r="E17" i="33"/>
  <c r="C17" i="33"/>
  <c r="D16" i="33"/>
  <c r="E16" i="33"/>
  <c r="C16" i="33"/>
  <c r="D15" i="33"/>
  <c r="E15" i="33"/>
  <c r="C15" i="33"/>
  <c r="D14" i="33"/>
  <c r="E14" i="33"/>
  <c r="C14" i="33"/>
  <c r="D13" i="33"/>
  <c r="E13" i="33"/>
  <c r="C13" i="33"/>
  <c r="D12" i="33"/>
  <c r="E12" i="33"/>
  <c r="C12" i="33"/>
  <c r="D11" i="33"/>
  <c r="E11" i="33"/>
  <c r="C11" i="33"/>
  <c r="E10" i="33"/>
  <c r="D10" i="33"/>
  <c r="C10" i="33"/>
  <c r="D9" i="33"/>
  <c r="E9" i="33"/>
  <c r="C9" i="33"/>
  <c r="D8" i="33"/>
  <c r="E8" i="33"/>
  <c r="C8" i="33"/>
  <c r="D7" i="33"/>
  <c r="E7" i="33"/>
  <c r="C7" i="33"/>
  <c r="D6" i="33"/>
  <c r="E6" i="33"/>
  <c r="C6" i="33"/>
  <c r="G23" i="43"/>
  <c r="S8" i="43" s="1"/>
  <c r="E23" i="43"/>
  <c r="Q8" i="43" s="1"/>
  <c r="C23" i="43"/>
  <c r="J22" i="43"/>
  <c r="J21" i="43"/>
  <c r="J20" i="43"/>
  <c r="J19" i="43"/>
  <c r="J18" i="43"/>
  <c r="J17" i="43"/>
  <c r="J16" i="43"/>
  <c r="J15" i="43"/>
  <c r="J14" i="43"/>
  <c r="J13" i="43"/>
  <c r="J12" i="43"/>
  <c r="J11" i="43"/>
  <c r="J10" i="43"/>
  <c r="J9" i="43"/>
  <c r="J8" i="43"/>
  <c r="R8" i="43" l="1"/>
  <c r="I23" i="43"/>
  <c r="C21" i="33"/>
  <c r="E21" i="33"/>
  <c r="D21" i="33"/>
  <c r="J23" i="43"/>
  <c r="E25" i="36"/>
  <c r="F25" i="36" s="1"/>
  <c r="E26" i="36"/>
  <c r="F26" i="36" s="1"/>
  <c r="E27" i="36"/>
  <c r="F27" i="36" s="1"/>
  <c r="E8" i="36"/>
  <c r="F8" i="36" s="1"/>
  <c r="E9" i="36"/>
  <c r="F9" i="36" s="1"/>
  <c r="E10" i="36"/>
  <c r="F10" i="36" s="1"/>
  <c r="E11" i="36"/>
  <c r="F11" i="36" s="1"/>
  <c r="E12" i="36"/>
  <c r="F12" i="36" s="1"/>
  <c r="E13" i="36"/>
  <c r="F13" i="36" s="1"/>
  <c r="E14" i="36"/>
  <c r="F14" i="36" s="1"/>
  <c r="E15" i="36"/>
  <c r="F15" i="36" s="1"/>
  <c r="E16" i="36"/>
  <c r="F16" i="36" s="1"/>
  <c r="E17" i="36"/>
  <c r="F17" i="36" s="1"/>
  <c r="E18" i="36"/>
  <c r="F18" i="36" s="1"/>
  <c r="E19" i="36"/>
  <c r="F19" i="36" s="1"/>
  <c r="E20" i="36"/>
  <c r="F20" i="36" s="1"/>
  <c r="E21" i="36"/>
  <c r="F21" i="36" s="1"/>
  <c r="E22" i="36"/>
  <c r="F22" i="36" s="1"/>
  <c r="F28" i="36" l="1"/>
  <c r="F23" i="36"/>
  <c r="F29" i="36" s="1"/>
  <c r="F6" i="33"/>
  <c r="F7" i="33"/>
  <c r="F8" i="33"/>
  <c r="F9" i="33"/>
  <c r="F10" i="33"/>
  <c r="F11" i="33"/>
  <c r="F12" i="33"/>
  <c r="F13" i="33"/>
  <c r="F14" i="33"/>
  <c r="F15" i="33"/>
  <c r="F16" i="33"/>
  <c r="F17" i="33"/>
  <c r="F18" i="33"/>
  <c r="F19" i="33"/>
  <c r="F20" i="33"/>
  <c r="F21" i="33" l="1"/>
  <c r="G23" i="36"/>
  <c r="C28" i="36"/>
  <c r="C23" i="36"/>
  <c r="D28" i="36"/>
  <c r="D23" i="36"/>
  <c r="E23" i="36" l="1"/>
  <c r="E28" i="36"/>
  <c r="C14" i="35" l="1"/>
  <c r="D14" i="35" s="1"/>
  <c r="E14" i="35" s="1"/>
  <c r="C23" i="17"/>
  <c r="D23" i="17"/>
  <c r="F23" i="17"/>
  <c r="H11" i="17"/>
  <c r="H12" i="17"/>
  <c r="H13" i="17"/>
  <c r="G26" i="17"/>
  <c r="H26" i="17" s="1"/>
  <c r="G27" i="17"/>
  <c r="H27" i="17" s="1"/>
  <c r="G25" i="17"/>
  <c r="H25" i="17" s="1"/>
  <c r="G9" i="17"/>
  <c r="G10" i="17"/>
  <c r="G11" i="17"/>
  <c r="G12" i="17"/>
  <c r="G13" i="17"/>
  <c r="G14" i="17"/>
  <c r="G15" i="17"/>
  <c r="G16" i="17"/>
  <c r="G17" i="17"/>
  <c r="G18" i="17"/>
  <c r="G19" i="17"/>
  <c r="G20" i="17"/>
  <c r="G21" i="17"/>
  <c r="G8" i="17"/>
  <c r="H8" i="17" s="1"/>
  <c r="H10" i="17"/>
  <c r="H9" i="17"/>
  <c r="C14" i="40"/>
  <c r="D14" i="40" s="1"/>
  <c r="E14" i="40" s="1"/>
  <c r="I17" i="39"/>
  <c r="J17" i="39"/>
  <c r="H17" i="39"/>
  <c r="H16" i="39"/>
  <c r="J16" i="39"/>
  <c r="I16" i="39"/>
  <c r="F16" i="39"/>
  <c r="K16" i="39" l="1"/>
  <c r="H28" i="17"/>
  <c r="G28" i="17"/>
  <c r="G23" i="17"/>
  <c r="G29" i="17" s="1"/>
  <c r="G9" i="22"/>
  <c r="I9" i="22" s="1"/>
  <c r="H29" i="22"/>
  <c r="L22" i="22"/>
  <c r="L10" i="22"/>
  <c r="L11" i="22"/>
  <c r="L12" i="22"/>
  <c r="L13" i="22"/>
  <c r="L14" i="22"/>
  <c r="L15" i="22"/>
  <c r="L16" i="22"/>
  <c r="L17" i="22"/>
  <c r="L18" i="22"/>
  <c r="L19" i="22"/>
  <c r="L20" i="22"/>
  <c r="L21" i="22"/>
  <c r="L9" i="22"/>
  <c r="K23" i="22"/>
  <c r="K29" i="22" s="1"/>
  <c r="O31" i="22" s="1"/>
  <c r="D23" i="22"/>
  <c r="E23" i="22"/>
  <c r="F23" i="22"/>
  <c r="G8" i="22"/>
  <c r="I8" i="22" s="1"/>
  <c r="G10" i="22"/>
  <c r="I10" i="22" s="1"/>
  <c r="G11" i="22"/>
  <c r="I11" i="22" s="1"/>
  <c r="G12" i="22"/>
  <c r="I12" i="22" s="1"/>
  <c r="G13" i="22"/>
  <c r="I13" i="22" s="1"/>
  <c r="G14" i="22"/>
  <c r="I14" i="22" s="1"/>
  <c r="G15" i="22"/>
  <c r="I15" i="22" s="1"/>
  <c r="G16" i="22"/>
  <c r="I16" i="22" s="1"/>
  <c r="I17" i="22"/>
  <c r="G18" i="22"/>
  <c r="I18" i="22" s="1"/>
  <c r="G19" i="22"/>
  <c r="I19" i="22" s="1"/>
  <c r="G20" i="22"/>
  <c r="I20" i="22" s="1"/>
  <c r="G21" i="22"/>
  <c r="I21" i="22" s="1"/>
  <c r="G22" i="22"/>
  <c r="I22" i="22" s="1"/>
  <c r="F29" i="22" l="1"/>
  <c r="D29" i="22"/>
  <c r="L23" i="22"/>
  <c r="L29" i="22" s="1"/>
  <c r="I23" i="22"/>
  <c r="G23" i="22"/>
  <c r="E29" i="22"/>
  <c r="C23" i="22"/>
  <c r="O29" i="22" l="1"/>
  <c r="O30" i="22"/>
  <c r="O28" i="22"/>
  <c r="I29" i="22"/>
  <c r="G29" i="22"/>
  <c r="C7" i="40"/>
  <c r="D7" i="40" s="1"/>
  <c r="C8" i="40"/>
  <c r="D8" i="40" s="1"/>
  <c r="C9" i="40"/>
  <c r="D9" i="40" s="1"/>
  <c r="C10" i="40"/>
  <c r="D10" i="40" s="1"/>
  <c r="C11" i="40"/>
  <c r="D11" i="40" s="1"/>
  <c r="C12" i="40"/>
  <c r="D12" i="40" s="1"/>
  <c r="C13" i="40"/>
  <c r="D13" i="40" s="1"/>
  <c r="E13" i="40" s="1"/>
  <c r="C15" i="40"/>
  <c r="D15" i="40" s="1"/>
  <c r="J15" i="39"/>
  <c r="I15" i="39"/>
  <c r="H15" i="39"/>
  <c r="J14" i="39"/>
  <c r="I14" i="39"/>
  <c r="H14" i="39"/>
  <c r="J13" i="39"/>
  <c r="I13" i="39"/>
  <c r="H13" i="39"/>
  <c r="J12" i="39"/>
  <c r="I12" i="39"/>
  <c r="H12" i="39"/>
  <c r="J11" i="39"/>
  <c r="I11" i="39"/>
  <c r="H11" i="39"/>
  <c r="J10" i="39"/>
  <c r="I10" i="39"/>
  <c r="H10" i="39"/>
  <c r="J9" i="39"/>
  <c r="I9" i="39"/>
  <c r="H9" i="39"/>
  <c r="J8" i="39"/>
  <c r="I8" i="39"/>
  <c r="H8" i="39"/>
  <c r="F15" i="39"/>
  <c r="F14" i="39"/>
  <c r="F12" i="39"/>
  <c r="F13" i="39"/>
  <c r="F11" i="39"/>
  <c r="F10" i="39"/>
  <c r="F9" i="39"/>
  <c r="F8" i="39"/>
  <c r="K15" i="39" l="1"/>
  <c r="E15" i="40"/>
  <c r="E12" i="40"/>
  <c r="E11" i="40"/>
  <c r="E10" i="40"/>
  <c r="E9" i="40"/>
  <c r="E8" i="40"/>
  <c r="E7" i="40"/>
  <c r="C6" i="40"/>
  <c r="D6" i="40" s="1"/>
  <c r="E6" i="40" s="1"/>
  <c r="I21" i="37" l="1"/>
  <c r="H21" i="37"/>
  <c r="I17" i="37"/>
  <c r="H17" i="37"/>
  <c r="I13" i="37"/>
  <c r="H13" i="37"/>
  <c r="I11" i="37"/>
  <c r="H11" i="37"/>
  <c r="I9" i="37"/>
  <c r="H9" i="37"/>
  <c r="I19" i="37"/>
  <c r="H19" i="37"/>
  <c r="I15" i="37"/>
  <c r="H15" i="37"/>
  <c r="I22" i="37"/>
  <c r="H22" i="37"/>
  <c r="I20" i="37"/>
  <c r="H20" i="37"/>
  <c r="I18" i="37"/>
  <c r="H18" i="37"/>
  <c r="I16" i="37"/>
  <c r="H16" i="37"/>
  <c r="I14" i="37"/>
  <c r="H14" i="37"/>
  <c r="I12" i="37"/>
  <c r="H12" i="37"/>
  <c r="I10" i="37"/>
  <c r="H10" i="37"/>
  <c r="I8" i="37"/>
  <c r="H8" i="37"/>
  <c r="H23" i="37" s="1"/>
  <c r="F23" i="31"/>
  <c r="G23" i="31"/>
  <c r="I23" i="31"/>
  <c r="J23" i="31"/>
  <c r="L23" i="31"/>
  <c r="M23" i="31"/>
  <c r="C15" i="35" l="1"/>
  <c r="D15" i="35" s="1"/>
  <c r="E15" i="35" s="1"/>
  <c r="C10" i="35"/>
  <c r="D10" i="35" s="1"/>
  <c r="E10" i="35" s="1"/>
  <c r="C11" i="35"/>
  <c r="D11" i="35" s="1"/>
  <c r="E11" i="35" s="1"/>
  <c r="C12" i="35"/>
  <c r="D12" i="35" s="1"/>
  <c r="E12" i="35" s="1"/>
  <c r="C13" i="35"/>
  <c r="D13" i="35" s="1"/>
  <c r="E13" i="35" s="1"/>
  <c r="K17" i="39"/>
  <c r="H19" i="17"/>
  <c r="H20" i="17"/>
  <c r="H14" i="17" l="1"/>
  <c r="H15" i="17"/>
  <c r="H16" i="17"/>
  <c r="H17" i="17"/>
  <c r="H18" i="17"/>
  <c r="H21" i="17"/>
  <c r="D29" i="17"/>
  <c r="D29" i="36"/>
  <c r="D30" i="36" l="1"/>
  <c r="D31" i="36" s="1"/>
  <c r="C47" i="36" s="1"/>
  <c r="H23" i="17"/>
  <c r="R28" i="36" l="1"/>
  <c r="K14" i="39" l="1"/>
  <c r="K13" i="39"/>
  <c r="K12" i="39"/>
  <c r="K11" i="39"/>
  <c r="K10" i="39"/>
  <c r="K9" i="39"/>
  <c r="K8" i="39"/>
  <c r="F28" i="17" l="1"/>
  <c r="C28" i="17"/>
  <c r="C28" i="22"/>
  <c r="C29" i="22" l="1"/>
  <c r="G29" i="36" l="1"/>
  <c r="G30" i="36" s="1"/>
  <c r="G31" i="36" s="1"/>
  <c r="C49" i="36" s="1"/>
  <c r="C29" i="36"/>
  <c r="C30" i="36" l="1"/>
  <c r="C48" i="36" s="1"/>
  <c r="E29" i="36"/>
  <c r="E30" i="36" s="1"/>
  <c r="E31" i="36" s="1"/>
  <c r="Q29" i="36"/>
  <c r="Q28" i="36"/>
  <c r="S29" i="36"/>
  <c r="S28" i="36"/>
  <c r="R29" i="36"/>
  <c r="T28" i="36" l="1"/>
  <c r="C29" i="17" l="1"/>
  <c r="F29" i="17" l="1"/>
  <c r="H29" i="17"/>
  <c r="I23" i="37" l="1"/>
  <c r="C6" i="35" l="1"/>
  <c r="D6" i="35" l="1"/>
  <c r="E6" i="35" s="1"/>
  <c r="C7" i="35"/>
  <c r="D7" i="35" s="1"/>
  <c r="E7" i="35" s="1"/>
  <c r="C8" i="35"/>
  <c r="D8" i="35" s="1"/>
  <c r="E8" i="35" s="1"/>
  <c r="C9" i="35"/>
  <c r="D9" i="35" s="1"/>
  <c r="E9" i="35" s="1"/>
  <c r="D14" i="26" l="1"/>
</calcChain>
</file>

<file path=xl/comments1.xml><?xml version="1.0" encoding="utf-8"?>
<comments xmlns="http://schemas.openxmlformats.org/spreadsheetml/2006/main">
  <authors>
    <author>pc</author>
    <author>Maher</author>
  </authors>
  <commentList>
    <comment ref="F15" authorId="0" shapeId="0">
      <text>
        <r>
          <rPr>
            <b/>
            <sz val="9"/>
            <color indexed="81"/>
            <rFont val="Tahoma"/>
            <family val="2"/>
          </rPr>
          <t>pc:</t>
        </r>
        <r>
          <rPr>
            <sz val="9"/>
            <color indexed="81"/>
            <rFont val="Tahoma"/>
            <family val="2"/>
          </rPr>
          <t xml:space="preserve">
نفسة</t>
        </r>
      </text>
    </comment>
    <comment ref="C26" authorId="1" shapeId="0">
      <text>
        <r>
          <rPr>
            <b/>
            <sz val="9"/>
            <color indexed="81"/>
            <rFont val="Tahoma"/>
            <family val="2"/>
          </rPr>
          <t>Maher:</t>
        </r>
        <r>
          <rPr>
            <sz val="9"/>
            <color indexed="81"/>
            <rFont val="Tahoma"/>
            <family val="2"/>
          </rPr>
          <t xml:space="preserve">
استفسار اي رقم صح</t>
        </r>
      </text>
    </comment>
  </commentList>
</comments>
</file>

<file path=xl/sharedStrings.xml><?xml version="1.0" encoding="utf-8"?>
<sst xmlns="http://schemas.openxmlformats.org/spreadsheetml/2006/main" count="1286" uniqueCount="363">
  <si>
    <t>المجموع</t>
  </si>
  <si>
    <t>كركوك</t>
  </si>
  <si>
    <t>ديالى</t>
  </si>
  <si>
    <t>بغداد</t>
  </si>
  <si>
    <t>بابل</t>
  </si>
  <si>
    <t>كربلاء</t>
  </si>
  <si>
    <t>واسط</t>
  </si>
  <si>
    <t>صلاح الدين</t>
  </si>
  <si>
    <t>النجف</t>
  </si>
  <si>
    <t>القادسية</t>
  </si>
  <si>
    <t>المثنى</t>
  </si>
  <si>
    <t>ذي قار</t>
  </si>
  <si>
    <t>ميسان</t>
  </si>
  <si>
    <t>البصرة</t>
  </si>
  <si>
    <t>المحافظة</t>
  </si>
  <si>
    <t>نينوى</t>
  </si>
  <si>
    <t>نوع التصحر</t>
  </si>
  <si>
    <t>اربيل</t>
  </si>
  <si>
    <t>دهوك</t>
  </si>
  <si>
    <t xml:space="preserve">صلاح الدين </t>
  </si>
  <si>
    <t>شديد ــ شديد جداً</t>
  </si>
  <si>
    <t xml:space="preserve">شديد ــ شديد جداً </t>
  </si>
  <si>
    <t xml:space="preserve"> خفيف ــ متوسط       </t>
  </si>
  <si>
    <t xml:space="preserve"> خفيف ــ متوسط        </t>
  </si>
  <si>
    <t>الأنبار</t>
  </si>
  <si>
    <t xml:space="preserve">مساحة الغابات الطبيعية </t>
  </si>
  <si>
    <t>الانبار</t>
  </si>
  <si>
    <t>إجمالي العراق</t>
  </si>
  <si>
    <t>إجمالي</t>
  </si>
  <si>
    <t>إقليم كردستان</t>
  </si>
  <si>
    <t>تملح التربة</t>
  </si>
  <si>
    <t>تصلب التربة</t>
  </si>
  <si>
    <t xml:space="preserve">    كلس             </t>
  </si>
  <si>
    <t xml:space="preserve">   جبس</t>
  </si>
  <si>
    <t>السليمانية</t>
  </si>
  <si>
    <t>قسم إحصاءات البيئة - الجهاز المركزي للإحصاء/ العراق</t>
  </si>
  <si>
    <t>(دونم)</t>
  </si>
  <si>
    <t>التعرية الريحية</t>
  </si>
  <si>
    <t>التعرية المائية</t>
  </si>
  <si>
    <t>مبيد حشري</t>
  </si>
  <si>
    <t>مبيد فطري</t>
  </si>
  <si>
    <t>مبيد أدغال</t>
  </si>
  <si>
    <t>مبيد أمراض</t>
  </si>
  <si>
    <t>مبيد لاحشري</t>
  </si>
  <si>
    <t>.. بيانات غير متوفرة</t>
  </si>
  <si>
    <t xml:space="preserve">إجمالي المساحة المتأثرة بتعرية التربة والتصحر </t>
  </si>
  <si>
    <t>المساحة المتأثرة (دونم)</t>
  </si>
  <si>
    <t xml:space="preserve"> جار العمل     </t>
  </si>
  <si>
    <t>مفتوح (لازال الخطر قائم)</t>
  </si>
  <si>
    <t>مغلق (رفع الخطر منها)</t>
  </si>
  <si>
    <t>المصدر :  وزارة الزراعة / دائرة التخطيط والمتابعة / قسم الإحصاء</t>
  </si>
  <si>
    <t xml:space="preserve">كركوك </t>
  </si>
  <si>
    <t>المساحة المتأثرة بتعرية التربة والتصحر في العراق لسنة 2016</t>
  </si>
  <si>
    <t>المصدر : وزارة الزراعة / دائرة التخطيط والمتابعة / قسم الإحصاء</t>
  </si>
  <si>
    <t>الشدّة</t>
  </si>
  <si>
    <t>السنوات</t>
  </si>
  <si>
    <t>المجموع الكلّي لمساحة الغابات (الطبيعية والإصطناعية) (دونم)</t>
  </si>
  <si>
    <t>المجموع الكلّي لمساحة الغابات (الطبيعية والإصطناعية) (هكتار)</t>
  </si>
  <si>
    <r>
      <t>المجموع الكلّي لمساحة الغابات (الطبيعية والإصطناعية) (كم</t>
    </r>
    <r>
      <rPr>
        <b/>
        <sz val="10"/>
        <color theme="0"/>
        <rFont val="Calibri"/>
        <family val="2"/>
      </rPr>
      <t>²</t>
    </r>
    <r>
      <rPr>
        <b/>
        <sz val="10"/>
        <color theme="0"/>
        <rFont val="Arial"/>
        <family val="2"/>
      </rPr>
      <t>)</t>
    </r>
  </si>
  <si>
    <t xml:space="preserve"> </t>
  </si>
  <si>
    <t>كغم</t>
  </si>
  <si>
    <t>لتر</t>
  </si>
  <si>
    <t>جدول (2)</t>
  </si>
  <si>
    <t>جدول (4)</t>
  </si>
  <si>
    <t>جدول (5)</t>
  </si>
  <si>
    <t>جدول (6)</t>
  </si>
  <si>
    <t>جدول (7)</t>
  </si>
  <si>
    <t>جدول (8)</t>
  </si>
  <si>
    <t>جدول (9)</t>
  </si>
  <si>
    <t>..</t>
  </si>
  <si>
    <t>كلياً</t>
  </si>
  <si>
    <t>جزئياً</t>
  </si>
  <si>
    <t xml:space="preserve">المجموع </t>
  </si>
  <si>
    <t>المصدر :  وزارة الموارد المائية / دائرة التخطيط والمتابعة / قسم السياسات البيئية</t>
  </si>
  <si>
    <t>جدول (3)</t>
  </si>
  <si>
    <t>نوع المبيد</t>
  </si>
  <si>
    <t>الكمية (لتر)</t>
  </si>
  <si>
    <t>الكمية (كغم)</t>
  </si>
  <si>
    <t>حشري</t>
  </si>
  <si>
    <t>فطري</t>
  </si>
  <si>
    <t>Row Labels</t>
  </si>
  <si>
    <t>Grand Total</t>
  </si>
  <si>
    <t xml:space="preserve"> الكمية (لتر)</t>
  </si>
  <si>
    <t xml:space="preserve"> الكمية (كغم)</t>
  </si>
  <si>
    <t>الكمية ( كغم)</t>
  </si>
  <si>
    <t>لا حشري</t>
  </si>
  <si>
    <t>جدول (1) أ</t>
  </si>
  <si>
    <t>جدول (1) ب</t>
  </si>
  <si>
    <t>2015 - 2014</t>
  </si>
  <si>
    <t>2016 - 2015</t>
  </si>
  <si>
    <t>2017 - 2016</t>
  </si>
  <si>
    <t>2018 - 2017</t>
  </si>
  <si>
    <t>2019 - 2018</t>
  </si>
  <si>
    <t>2022 - 2021</t>
  </si>
  <si>
    <t>إجمالي العراق (دونم)</t>
  </si>
  <si>
    <t>التوزيع النسبي لمساحة الأراضي المزروعة حسب طبيعة الارواء</t>
  </si>
  <si>
    <t>المجموع الكلّي لمساحة الأراضي المزروعة (دونم)</t>
  </si>
  <si>
    <t>المجموع الكلّي لمساحة الأراضي المزروعة (هكتار)</t>
  </si>
  <si>
    <r>
      <t>المجموع الكلّي لمساحة الأراضي المزروعة  (كم</t>
    </r>
    <r>
      <rPr>
        <b/>
        <sz val="10"/>
        <color theme="0"/>
        <rFont val="Calibri"/>
        <family val="2"/>
      </rPr>
      <t>²</t>
    </r>
    <r>
      <rPr>
        <b/>
        <sz val="10"/>
        <color theme="0"/>
        <rFont val="Arial"/>
        <family val="2"/>
      </rPr>
      <t>)</t>
    </r>
  </si>
  <si>
    <t xml:space="preserve">مساحة الغابات التابعة لمديريات زراعة المحافظات </t>
  </si>
  <si>
    <t>جدول (1) ج</t>
  </si>
  <si>
    <t>المروية (أنهار)</t>
  </si>
  <si>
    <t>المروية (أبار)</t>
  </si>
  <si>
    <t>الديمية</t>
  </si>
  <si>
    <r>
      <t xml:space="preserve">           2. مساحة العراق عدا المياه الإقليمية (434128) كم</t>
    </r>
    <r>
      <rPr>
        <b/>
        <sz val="9"/>
        <rFont val="Calibri"/>
        <family val="2"/>
      </rPr>
      <t>²</t>
    </r>
  </si>
  <si>
    <t xml:space="preserve">          3. المساحة (هكتار) = المساحة بالدونم / 4   </t>
  </si>
  <si>
    <t xml:space="preserve">         4. المساحة (كم²) = االمساحة بالهكتار / 100     </t>
  </si>
  <si>
    <t>النسبة المئوية</t>
  </si>
  <si>
    <t xml:space="preserve">النسبة المئوية </t>
  </si>
  <si>
    <t>2014 - 2013</t>
  </si>
  <si>
    <t>2020- 2019</t>
  </si>
  <si>
    <t xml:space="preserve">نسبة مساحة الغابات الكلّية (الطبيعية والإصطناعية) من مساحة العراق </t>
  </si>
  <si>
    <t xml:space="preserve">النسبة المئوية للأراضي المستصلحة إلى المشمولة بالإستصلاح </t>
  </si>
  <si>
    <r>
      <t>إجمالي العراق (كم</t>
    </r>
    <r>
      <rPr>
        <b/>
        <sz val="10"/>
        <rFont val="Calibri"/>
        <family val="2"/>
      </rPr>
      <t>²</t>
    </r>
    <r>
      <rPr>
        <b/>
        <sz val="10"/>
        <rFont val="Arial"/>
        <family val="2"/>
      </rPr>
      <t>)</t>
    </r>
  </si>
  <si>
    <t>2021 - 2020</t>
  </si>
  <si>
    <t xml:space="preserve">النسبة المئوية لمساحة الأراضي المزروعة من مساحة العراق </t>
  </si>
  <si>
    <t>مساحة الأراضي المزروعة حسب طبيعة الإرواء (دونم)</t>
  </si>
  <si>
    <t>مساحة الأراضي المزروعة حسب طبيعة الإرواء ( دونم) *</t>
  </si>
  <si>
    <t xml:space="preserve">القادسية </t>
  </si>
  <si>
    <t xml:space="preserve"> البصرة </t>
  </si>
  <si>
    <t>* المساحات الخاصة بغابات دائرة الغابات والتصحر تمثل الأراضي المشجرة فقط وليس المساحة الكلية للغابة</t>
  </si>
  <si>
    <t xml:space="preserve">المصدر : وزارة البيئة/ دائرة التخطيط والمتابعة الفنية </t>
  </si>
  <si>
    <r>
      <t xml:space="preserve">الأراضي الصالحة للزراعة (دونم) </t>
    </r>
    <r>
      <rPr>
        <b/>
        <sz val="10"/>
        <color theme="0"/>
        <rFont val="Calibri"/>
        <family val="2"/>
      </rPr>
      <t>*</t>
    </r>
  </si>
  <si>
    <t>2023- 2022</t>
  </si>
  <si>
    <t>2020 - 2019</t>
  </si>
  <si>
    <t>2023 - 2022</t>
  </si>
  <si>
    <t>مساحة الغابات (الطبيعية والإصطناعية) حسب المحافظة لسنة 2022</t>
  </si>
  <si>
    <t>نسبة مجموع المساحة المزروعة %</t>
  </si>
  <si>
    <t>النسبة المئوية لمساحة الأراضي المزروعة حسب طبيعة الإرواء</t>
  </si>
  <si>
    <t>التوزيع النسبي  لمساحة الأراضي المزروعة حسب طبيعة الإرواء</t>
  </si>
  <si>
    <t>جدول (1) د</t>
  </si>
  <si>
    <t>المحلي</t>
  </si>
  <si>
    <t>المستورد</t>
  </si>
  <si>
    <t>** المساحات الديمية تعتمد على سيول الأمطار القادمة من إيران</t>
  </si>
  <si>
    <t xml:space="preserve">ميسان** </t>
  </si>
  <si>
    <t>بغداد *</t>
  </si>
  <si>
    <t>كربلاء *</t>
  </si>
  <si>
    <t>واسط *</t>
  </si>
  <si>
    <t>مساحة ونسبة الأراضي المتصحرة والمهدّدة بالتصحر والكثبان الرملية حسب المحافظة لسنة 2022</t>
  </si>
  <si>
    <t>المساحات التي تغطيها منظومات الري الحديثة من المساحات المروية (أنهار وأبار) في الخطة الزراعية</t>
  </si>
  <si>
    <t xml:space="preserve"> مساحة الأراضي الصالحة للزراعة والمزروعة والمساحات التي تغطيها منظومات الري الحديثة (أنهار وأبار) من الخطة الزراعية حسب المحافظة للموسم الشتوي (2022-2023)</t>
  </si>
  <si>
    <t xml:space="preserve"> التوزيع النسبي لمساحة الأراضي المزروعة من الخطة الزراعية حسب طبيعة الإرواء للمواسم الشتوية من (2013 - 2014) الى (2022 - 2023)</t>
  </si>
  <si>
    <t>مساحة الغابات التابعة لدائرة الغابات والتصحر*</t>
  </si>
  <si>
    <t>مجموع مساحة الغابات الإصطناعية</t>
  </si>
  <si>
    <t xml:space="preserve">المجموع الكلّي لمساحة الغابات (الطبيعية والإصطناعية) </t>
  </si>
  <si>
    <t>نسبة مساحة الغابات الكلية (الطبيعية والإصطناعية) من مساحة العراق عدا المياه الإقليمية للسنوات (2013 ــ 2022)</t>
  </si>
  <si>
    <t xml:space="preserve">النسبة المئوية لمساحة الكثبان الرملية </t>
  </si>
  <si>
    <t xml:space="preserve"> الأراضي المهدّدة بالتصحر (بضمنها الأراضي الصحراوية) (دونم) </t>
  </si>
  <si>
    <t>مساحة الكثبان الرملية (دونم) **</t>
  </si>
  <si>
    <t>** الكثبان الرملية هي جزء من الأراضي المتصحرة</t>
  </si>
  <si>
    <t>الأراضي المتصحرة (دونم) *</t>
  </si>
  <si>
    <t>* قلة المساحات المتصحرة في بعض المحافظات عن سنة 2021 على الرغم من زيادة المساحة الإجمالية يعود إلى التوسع السكاني الذي شهدته، أما إنخفاض مساحات الكثبان الرملية  فيعود الى عمليات تثبيت الكثبان الرملية المتمثلة بزراعة أشجار مقاومة للملوحة وحملات التشجير كما تم معالجة الأراضي الزراعية التابعة للمزارعين والمتأئرة بزحف الكثبان الرملية</t>
  </si>
  <si>
    <t xml:space="preserve">كمية ونسبة الأسمدة المجهّزة حسب النوع والمحافظة لسنة 2022 </t>
  </si>
  <si>
    <t>سماد اليوريا (طن)</t>
  </si>
  <si>
    <t>سماد الداب (طن)</t>
  </si>
  <si>
    <t xml:space="preserve">مفتوح (لازال الخطر قائم) </t>
  </si>
  <si>
    <t xml:space="preserve">مغلق (رفع الخطر منها) </t>
  </si>
  <si>
    <t>جدول (10)</t>
  </si>
  <si>
    <t xml:space="preserve">المساحات التي تغطيها منظومات الري الحديثة من المساحات المروية (أنهار وأبار) </t>
  </si>
  <si>
    <t xml:space="preserve">الأراضي المتصحرة </t>
  </si>
  <si>
    <t xml:space="preserve"> الأراضي المهدّدة بالتصحر (بضمنها الأراضي الصحراوية) </t>
  </si>
  <si>
    <t>الكثبان الرملية</t>
  </si>
  <si>
    <t>البصره</t>
  </si>
  <si>
    <t>النسبة %</t>
  </si>
  <si>
    <t>مساحة الأراضي المستصلحة (دونم)</t>
  </si>
  <si>
    <t>المجموع  (م²)</t>
  </si>
  <si>
    <t>مساحة ونسبة المناطق الخطرة حسب الحالة</t>
  </si>
  <si>
    <t>نسبة مساحة الأراضي المزروعة من مساحة العراق عدا المياه الإقليمية للمواسم الشتوية من (2013 - 2014) الى (2022 - 2023)</t>
  </si>
  <si>
    <t>* مساحة الأراضي المزروعة حسب طبيعة الإرواء تمثل المساحة المزروعة للمواسم الشتوية عدا إقليم كردستان حسب خطط وزارة الزراعة</t>
  </si>
  <si>
    <t>المصدر:  وزارة الزراعة / دائرة التخطيط والمتابعة / قسم الإحصاء</t>
  </si>
  <si>
    <t>مساحة الأراضي المستصلحة (كلياً وجزئياً) وقيد الإستصلاح حسب المحافظة لسنة 2022</t>
  </si>
  <si>
    <t>كمية المبيدات المستخدمة حسب النوع والمحافظة لسنة 2022</t>
  </si>
  <si>
    <t xml:space="preserve">التوزيع النسبي لمساحة المناطق الخطرة الملوثة بـ (أرض مواجهات، ذخائر عنقودية، مخلفات حربية، حقول ألغام، عبوات ناسفة وذخائر غير منفجرة) الُمسجلة في قاعدة البيانات حسب الحالة والمحافظة للمدة من (2004 ــ 2022) </t>
  </si>
  <si>
    <t xml:space="preserve">مساحة ونسبة المناطق الخطرة الملوثة بـ (أرض مواجهات، ذخائر عنقودية، مخلفات حربية، حقول ألغام، عبوات ناسفة وذخائرغير منفجرة) الُمسجلة في قاعدة البيانات حسب الحالة والمحافظة للمدة من (2004 ــ 2022) </t>
  </si>
  <si>
    <t>(Natural and artificial) forests area by governorate for 2022</t>
  </si>
  <si>
    <t>Table (2)</t>
  </si>
  <si>
    <t>Governorate</t>
  </si>
  <si>
    <t>Nineveh</t>
  </si>
  <si>
    <t>Kirkuk</t>
  </si>
  <si>
    <t>Diala</t>
  </si>
  <si>
    <t>Al- Anbar</t>
  </si>
  <si>
    <t>Baghdad</t>
  </si>
  <si>
    <t>Babylon</t>
  </si>
  <si>
    <t>Kerbela</t>
  </si>
  <si>
    <t>Wasit</t>
  </si>
  <si>
    <t>Salah Al-Deen</t>
  </si>
  <si>
    <t>Al- Najaf</t>
  </si>
  <si>
    <t>Al- Qadisiya</t>
  </si>
  <si>
    <t>Al- Muthanna</t>
  </si>
  <si>
    <t>Thi - Qar</t>
  </si>
  <si>
    <t xml:space="preserve">Missan </t>
  </si>
  <si>
    <t>Al- Basrah</t>
  </si>
  <si>
    <t>Total</t>
  </si>
  <si>
    <t>Kurdistan region</t>
  </si>
  <si>
    <t>Duhouk</t>
  </si>
  <si>
    <t>Al- Sulimaniyah</t>
  </si>
  <si>
    <t>Erbil</t>
  </si>
  <si>
    <t>Total of Iraq</t>
  </si>
  <si>
    <t>Source: Ministry of Agriculture/ Planning and Follow-up  department/ Statistic Department</t>
  </si>
  <si>
    <t>.. No data availabe</t>
  </si>
  <si>
    <t>Environment Statistics Department/ CSO/ Iraq</t>
  </si>
  <si>
    <t>Natural forests area</t>
  </si>
  <si>
    <t>Forests area related to the agriculture directorates of governorates</t>
  </si>
  <si>
    <t>* The area of forests and desertification directorate forests represent the wooded lands and not the total area of forest</t>
  </si>
  <si>
    <t>Forests area related to the forests and desertification directorate*</t>
  </si>
  <si>
    <t>Total  natural and artificial forests area</t>
  </si>
  <si>
    <t>Total artificial forests area</t>
  </si>
  <si>
    <t>Table (3)</t>
  </si>
  <si>
    <t>Years</t>
  </si>
  <si>
    <t>Total area of (natural and artificial) forests (acres)</t>
  </si>
  <si>
    <t>Total area of (natural and artificial) forests (Ha)</t>
  </si>
  <si>
    <t>Total area of (natural and artificial) forests (km2)</t>
  </si>
  <si>
    <t>Percentage of total forests area (natural and artificial) from the total area of Iraq excluding the territorial waters for (2013-2022)</t>
  </si>
  <si>
    <t>Percentage of total forests area (natural and artificial) from the total area of Iraq</t>
  </si>
  <si>
    <t>Kerbala</t>
  </si>
  <si>
    <t>Salah al- deen</t>
  </si>
  <si>
    <t>Al- Qadisiyah</t>
  </si>
  <si>
    <t>Thi-qar</t>
  </si>
  <si>
    <t>Missan</t>
  </si>
  <si>
    <t>Total of Iraq (Acres)</t>
  </si>
  <si>
    <t>Total of Iraq (Km²)</t>
  </si>
  <si>
    <t>Percentage</t>
  </si>
  <si>
    <t>Source: Ministry of Agriculture/ Planning and Follow-up  department</t>
  </si>
  <si>
    <t>Table (4)</t>
  </si>
  <si>
    <t>Desert lands (Acres)*</t>
  </si>
  <si>
    <t>Threatened lands (including the desert lands) (Acres)</t>
  </si>
  <si>
    <t>Percentage and area of desert lands, threatened lands and sand dunes by governorate for 2022</t>
  </si>
  <si>
    <t>Sand dunes area (Acres) **</t>
  </si>
  <si>
    <t>Percentage of sand dunes area</t>
  </si>
  <si>
    <t>Table (5)</t>
  </si>
  <si>
    <t>Type of desertification</t>
  </si>
  <si>
    <t>Extent of desertification</t>
  </si>
  <si>
    <t>Affected area (Acres)</t>
  </si>
  <si>
    <t>Airy erosion</t>
  </si>
  <si>
    <t>Watery erosion</t>
  </si>
  <si>
    <t>Soil Salinization</t>
  </si>
  <si>
    <t>Soil hardening</t>
  </si>
  <si>
    <t>Total of area affected by desertification and erosion</t>
  </si>
  <si>
    <t>Light - medium</t>
  </si>
  <si>
    <t>Strong - very strong</t>
  </si>
  <si>
    <t>Calcareous</t>
  </si>
  <si>
    <t>Gypseous</t>
  </si>
  <si>
    <t>Entirely</t>
  </si>
  <si>
    <t>Partially</t>
  </si>
  <si>
    <t>Percentage of reclaimed lands to the involved lands (%)</t>
  </si>
  <si>
    <t>Table (6)</t>
  </si>
  <si>
    <t>Ministry of water resources/ Planning and Follow-up  department/ environmental policies department</t>
  </si>
  <si>
    <t>Amount of used herbicides by type and governorate for 2022</t>
  </si>
  <si>
    <t>Table (7)</t>
  </si>
  <si>
    <t>Area of reclaimed lands (entirely and partially) by governorate for 2022</t>
  </si>
  <si>
    <t>Area of reclaimed lands (Acres)</t>
  </si>
  <si>
    <t>* It represents the area planned for irrigation according to the plan of the ministry of water reesources in the strategic study of water  and land resources for 2014. The reclamation work represented by the establishment of integrated irrigation and drainage networks, the purpose is to raise the efficiency of plant production, maintain soil fertility, regulate water distribution, and drain drainage water outside the cultivated lands.</t>
  </si>
  <si>
    <t>Kg</t>
  </si>
  <si>
    <t>Litter</t>
  </si>
  <si>
    <t>Insecticide</t>
  </si>
  <si>
    <t>Fungicide</t>
  </si>
  <si>
    <t>Diseases herbicide</t>
  </si>
  <si>
    <t>Non- Insecticide</t>
  </si>
  <si>
    <t>Jungle herbicide</t>
  </si>
  <si>
    <t>Amount and percentage of provided fertilizers by type and governorate for 2022</t>
  </si>
  <si>
    <t>Imported</t>
  </si>
  <si>
    <t>Localy</t>
  </si>
  <si>
    <t>Baghdad*</t>
  </si>
  <si>
    <t>Kerbala*</t>
  </si>
  <si>
    <t>Wasit*</t>
  </si>
  <si>
    <t xml:space="preserve">Opened (still hazardous) </t>
  </si>
  <si>
    <t xml:space="preserve">Closed (non-hazardous) </t>
  </si>
  <si>
    <t>Still working on</t>
  </si>
  <si>
    <t xml:space="preserve">Total </t>
  </si>
  <si>
    <t>The hazardous region percentage and area polluted by (confrontations land, cluster munitions, non-explosive libelers) recorded in database by status and governorate for the period (2004-2022)</t>
  </si>
  <si>
    <t>The hazardous region percentage and area by status</t>
  </si>
  <si>
    <t>Table (8)</t>
  </si>
  <si>
    <t>Table (9)</t>
  </si>
  <si>
    <t>The relative distribution of hazardous region area polluted by (confrontations land, cluster munitions, non-explosive libelers) recorded in database by status and governorate for the period (2004-2022)</t>
  </si>
  <si>
    <t>Table (10)</t>
  </si>
  <si>
    <t>Missan **</t>
  </si>
  <si>
    <t>Table (1) A</t>
  </si>
  <si>
    <t>Acres</t>
  </si>
  <si>
    <t>Cultivated land area by irrigation type (Acres)</t>
  </si>
  <si>
    <t>Arable lands (Acres) *</t>
  </si>
  <si>
    <t>Irrigated (wells)</t>
  </si>
  <si>
    <t>Irrigated (rivers)</t>
  </si>
  <si>
    <t>Lands depend on rain</t>
  </si>
  <si>
    <t>Areas covered by recent irrigation systems (rivers and wells) from the agricultural plan</t>
  </si>
  <si>
    <t>.. No data available</t>
  </si>
  <si>
    <t>* Arable lands include lands that irrigated by river, lands depend on rain, lands irrigated by wells and springs. These data represent the results of strategic study of water resources and lands in Iraq which prepared by the ministry of water resources for 2014</t>
  </si>
  <si>
    <t>** The lands depend on rain that comes from Iran</t>
  </si>
  <si>
    <t xml:space="preserve">Arable and cultivated land area and areas covered by recent irrigation systems (rivers and wells) from the agricultural plan by governorate for the winter season for (2022-2023) </t>
  </si>
  <si>
    <t>Percentage of cultivated land area by irrigation type</t>
  </si>
  <si>
    <t>Relative distribution of cultivated land area by irrigation type</t>
  </si>
  <si>
    <t>Relative distribution of cultivated land area by the agricultural plan by irrigation type for the winter seasons for the period from (2013-2014) till (2022-2023)</t>
  </si>
  <si>
    <t>Cultivated land area by irrigation type (Acres)*</t>
  </si>
  <si>
    <t>* Cultivated land area by irrigation type represents the area for the winter seasons excluding Kurdistan region and by the Ministry of Agriculture plan</t>
  </si>
  <si>
    <t>Percentage of cultivated land area from the total area of Iraq excluding the territorial water for the winter seasons for the period from (2013-2014) till (2022-2023)</t>
  </si>
  <si>
    <t>Dab fertilizer (ton)</t>
  </si>
  <si>
    <t>Urea fertilizer (ton)</t>
  </si>
  <si>
    <t>Total area of cultivated land (Acres)</t>
  </si>
  <si>
    <t>Total area of cultivated land (Ha)</t>
  </si>
  <si>
    <t>Total area of cultivated land (km2)</t>
  </si>
  <si>
    <t>Percentage of cultivated land area from the total area of Iraq</t>
  </si>
  <si>
    <r>
      <t>ـ مساحة العراق عدا المياه الإقليمية (434128) كم</t>
    </r>
    <r>
      <rPr>
        <b/>
        <sz val="9"/>
        <rFont val="Calibri"/>
        <family val="2"/>
      </rPr>
      <t>²</t>
    </r>
  </si>
  <si>
    <r>
      <t>ـ  مساحة العراق عدا المياه الإقليمية (434128) كم</t>
    </r>
    <r>
      <rPr>
        <b/>
        <sz val="9"/>
        <rFont val="Calibri"/>
        <family val="2"/>
      </rPr>
      <t>²</t>
    </r>
  </si>
  <si>
    <t xml:space="preserve">ـ  المساحة (هكتار) = المساحة بالدونم / 4   </t>
  </si>
  <si>
    <t xml:space="preserve">ـ  المساحة (كم²) = المساحة بالهكتار / 100     </t>
  </si>
  <si>
    <t>ـ  Total area of Iraq excluding the territorial water (434128) km2</t>
  </si>
  <si>
    <t>ـ  Area (Ha) = area (Acres)/4</t>
  </si>
  <si>
    <t>ـ  Area (km2) = area (Ha)/100</t>
  </si>
  <si>
    <t>ـ تم إنتاج وتوزيع شتلات الغابات من قبل دائرة الغابات والتصحر الى مديريات الزراعة في المحافظات والبلديات وبعدد (412856) شتلة في سنتي 2021 و 2022</t>
  </si>
  <si>
    <t>ـ الإحصائية الخاصة بالغابات الطبيعية والإصطناعية الخاصة بإقليم كردستان إستناداً إلى حكومة إقليم كردستان/ وزارة الزراعة - دائرة الغابات لعام 2018</t>
  </si>
  <si>
    <t>ـ The production and distribution of forests by the forests directorate to the agriculture directorate in the governorates and municipalities and as (412856) for 2021 and 2022</t>
  </si>
  <si>
    <t>ـ The statistcs of natural and artificial forests for Kurdistan region according to Kurdistan region governorate/ Ministry of Agriculture- Forests directorate 2018</t>
  </si>
  <si>
    <t xml:space="preserve">ـ المساحة (هكتار) = المساحة بالدونم / 4   </t>
  </si>
  <si>
    <t xml:space="preserve">ـ المساحة (كم²) = المساحة بالهكتار / 100     </t>
  </si>
  <si>
    <t xml:space="preserve"> ـ Area of Iraq excluding the territorial waters (434128) km2 </t>
  </si>
  <si>
    <t>ـ The area (Ha) = the area (Acres)/4</t>
  </si>
  <si>
    <r>
      <t>ـ The area (km2) =</t>
    </r>
    <r>
      <rPr>
        <sz val="9"/>
        <rFont val="Times New Roman"/>
        <family val="1"/>
      </rPr>
      <t xml:space="preserve"> </t>
    </r>
    <r>
      <rPr>
        <b/>
        <sz val="9"/>
        <rFont val="Times New Roman"/>
        <family val="1"/>
      </rPr>
      <t>the area (Ha)/100</t>
    </r>
  </si>
  <si>
    <t>*The reason for the dicreasing of the desert lands in some governorates for 2021 is due to the population increasing, while the dicreasing of the sand dunes area is due to the afforestation campaigns.</t>
  </si>
  <si>
    <t>**Sand dunes are part of desert lands</t>
  </si>
  <si>
    <t>ـ (Km²)= 400 Acres</t>
  </si>
  <si>
    <r>
      <t>ـ كم</t>
    </r>
    <r>
      <rPr>
        <b/>
        <sz val="9"/>
        <rFont val="Calibri"/>
        <family val="2"/>
      </rPr>
      <t>²</t>
    </r>
    <r>
      <rPr>
        <b/>
        <sz val="9"/>
        <rFont val="Arial"/>
        <family val="2"/>
      </rPr>
      <t xml:space="preserve"> = 400 دونم</t>
    </r>
  </si>
  <si>
    <t xml:space="preserve">مجموع الأراضي المتصحرة والمهدّدة بالتصحر (بضمنها الأراضي الصحراوية) (دونم) </t>
  </si>
  <si>
    <t>المساحة</t>
  </si>
  <si>
    <t>Total desert lands, threatened lands (including the desert lands) (Acres)</t>
  </si>
  <si>
    <t xml:space="preserve">Area </t>
  </si>
  <si>
    <t>Area affected by soil erosion and desertification in Iraq for 2016</t>
  </si>
  <si>
    <t>ـ The areas of reclaimed lands or under reclamation or that not have been reclaimed for some governorates have changed from the previous years due to reclaculating the area distribution ratios according to the strategic study, where the lands were redistributed according to the ratios specified in the strategic study, in addition to adopting the study's outcomes.</t>
  </si>
  <si>
    <t>ـ إن المساحات الخطرة في هذا الجدول تمثـــل المناطق التي أُبلغ عنها بأنها مناطق خطرة من قبل جهات حكومية أو مَدنية وتم إجراء الكشف والمسح عليها وتسجيلها في قاعدة بيانات دائرة شوؤن الألغام ولا تمثل جميع مساحات العراق الخطرة</t>
  </si>
  <si>
    <t>ـ Increasing the areas of opened regions in some governorates due to the new hazardous lands due to the surveys.</t>
  </si>
  <si>
    <t>ـ The hazardous areas in this table represents the areas that were reported as dangerous by governmental or civil agencies and were surveyed and registered in Mine affaiirs Department's database. And they don't represent all of Iraq's dangerous areas.</t>
  </si>
  <si>
    <t>ـ إن نسب المساحات الخطرة في هذا الجدول تمثـــل المناطق التي أُبلغ عنها بأنها مناطق خطرة من قبل جهات حكومية أو مَدنية وتم إجراء الكشف والمسح عليها وتسجيلها في قاعدة بيانات دائرة شوؤن الألغام ولا تمثل جميع نسب مساحات العراق الخطرة</t>
  </si>
  <si>
    <t>ـ البيانات حسب خطة وزارة الزراعة للموسم الشتوي الذي يبدأ من شهر تشرين الأول لسنة 2022 لغاية شهر أب من سنة 2023</t>
  </si>
  <si>
    <t>ـ The data prepared by the plan of the ministry of agriculture for the winter season that started from October 2022 till August 2023</t>
  </si>
  <si>
    <t>ـ قد تغيرت مساحات بعض المحافظات للأراضي المستصلحة أو قيد الإستصلاح أو المساحات التي لم يتم إستصلاحها عن السنة السابقة بسبب إعادة احتساب نسب توزيع المساحات حسب الدراسة الستراتيجية حيث أعيد توزيع الأراضي حسب النسب المحددة بالدراسة الستراتيجية إضافة الى إعتماد مخرجات الدراسة وأهملت البيانات القديمة</t>
  </si>
  <si>
    <r>
      <t xml:space="preserve">ـ مساحة العراق الكلية بضمنها المياه الإقليمية (كم²) = </t>
    </r>
    <r>
      <rPr>
        <b/>
        <sz val="9"/>
        <rFont val="Times New Roman"/>
        <family val="1"/>
      </rPr>
      <t>435052 كم²</t>
    </r>
  </si>
  <si>
    <t>* القيمة (0)  في محافظة بغداد تعني تم إطلاق وإزالة كل الخطر المسجل في قاعدة البيانات التابعة الى دائرة الألغام، أما في محافظتي كربلاء وواسط فتعني لا يوجد عمل في المناطق الملوثة خلال مدة إنجاز التقرير</t>
  </si>
  <si>
    <t>* Value (0) in Baghdad governorate means that all the danger registered in the database related to the Department of Mines has been released and removed, while in Kerbala and Wasit it means there is no work in the polluted areas during the period of completion the reports.</t>
  </si>
  <si>
    <t>* Value (0) in Baghdad governorate means that all the danger registered in the database related to the Department of Mines has been released and removed, while in Kerbala and Wasit it means there is no work in the polluted areas during the period of completion the report.</t>
  </si>
  <si>
    <t xml:space="preserve">ـ زيادة نسبة مساحات المناطق المفتوحة في بعض المحافظات عن السنة الماضية يعود الى إكتشاف أراضي خطرة جديدة نتيجة المسوحات وبناءاً على طلب الجهات المستفيدة أو تبليغ من قبل السكان المحليين </t>
  </si>
  <si>
    <t xml:space="preserve">ـ زيادة مساحات المناطق المفتوحة في بعض المحافظات عن السنة الماضية يعود الى إكتشاف أراضي خطرة جديدة نتيجة المسوحات وبناءاً على طلب الجهات المستفيدة أو تبليغ من قبل السكان المحليين </t>
  </si>
  <si>
    <t>ـ Area of Iraq withen the territorial water (Km²) = 435052 Km²</t>
  </si>
  <si>
    <t>* الأراضي الصالحة للزراعة تشمل جميع الأراضي التي تروى سيحا ولها حصص مائية والأراضي الديمية المضمونة الارواء والأراضي التي تروى من الينابيع والابار وهذه البيانات تمثل نتائج الدراسة الستراتيجية لموارد المياه والاراضي في العراق والمعدة من قبل وزارة الموارد المائية في سنة 2014</t>
  </si>
  <si>
    <t>( دونم)</t>
  </si>
  <si>
    <t>(Acres)</t>
  </si>
  <si>
    <t xml:space="preserve">مساحة الغابات الإصطناعية      </t>
  </si>
  <si>
    <t xml:space="preserve">Artificial forests area </t>
  </si>
  <si>
    <t>* تمثل المساحة المخطط لإروائها بموجب خطة وزارة الموارد المائية في الدراسة الستراتيجية لموارد المياه والأراضي لسنة 2014 تمثلت أعمال الإستصلاح بإنشاء شبكات ري وبزل متكاملة الغاية منها رفع كفاءة الإنتاج النباتي والحفاظ على خصوبة التربة وتنظيم توزيع المياه وتصريف مياه البزل خارج الأراضي المزروعة</t>
  </si>
  <si>
    <t>Table (1) E</t>
  </si>
  <si>
    <t>ملاحظة :  لا تتوفر بيانات للسنوات (2017 - 2022) لذلك تم نشر بيانات سنة 2016</t>
  </si>
  <si>
    <t>Note: No data available for (2017 - 2022) so the data of 2016 are published</t>
  </si>
  <si>
    <t>مجموع المساحات الكلية المشمولة بأعمال الإستصلاح حسب الموازنة المائية لسنة 2014*  (دونم)</t>
  </si>
  <si>
    <t>مساحات الأراضي قيد الإستصلاح  (دونم)</t>
  </si>
  <si>
    <t>مساحات الأراضي التي لم يتم إستصلاحها  (دونم)</t>
  </si>
  <si>
    <t>Total area of the reclaimed lands for 2014* (Acres)</t>
  </si>
  <si>
    <t>Area of under reclamation lands (Acres)</t>
  </si>
  <si>
    <t>Area of non-reclaimed lands (Acres)</t>
  </si>
  <si>
    <t>مفتوح (لازال الخطر قائم) (م²)</t>
  </si>
  <si>
    <t>مغلق (رفع الخطر منها) (م²)</t>
  </si>
  <si>
    <t xml:space="preserve"> جار العمل (م²)     </t>
  </si>
  <si>
    <t>الإجمالي</t>
  </si>
  <si>
    <t xml:space="preserve"> النسبة المئوية والتوزيع النسبي  لمساحة الأراضي المزروعة من الخطة الزراعية حسب طبيعة الأرواء والمحافظة للموسم الشتوي (2022-2023)</t>
  </si>
  <si>
    <t xml:space="preserve">Percentage and relative distribution of cultivated land area from the agricultural plan by irrigation type and governorate for the winter season for (2022-2023) </t>
  </si>
  <si>
    <t>Table (1) B</t>
  </si>
  <si>
    <t>Table (1) 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</si>
</sst>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_(* \(#,##0.00\);_(* &quot;-&quot;??_);_(@_)"/>
    <numFmt numFmtId="164" formatCode="0.0"/>
    <numFmt numFmtId="165" formatCode="0.000"/>
    <numFmt numFmtId="166" formatCode="[$-1010000]d/m/yyyy;@"/>
    <numFmt numFmtId="167" formatCode="_(* #,##0_);_(* \(#,##0\);_(* &quot;-&quot;??_);_(@_)"/>
    <numFmt numFmtId="168" formatCode="#,##0.0"/>
    <numFmt numFmtId="169" formatCode="_(* #,##0.0_);_(* \(#,##0.0\);_(* &quot;-&quot;??_);_(@_)"/>
    <numFmt numFmtId="170" formatCode="_-* #,##0.0_-;\-* #,##0.0_-;_-* &quot;-&quot;??_-;_-@_-"/>
    <numFmt numFmtId="171" formatCode="#,##0.000"/>
  </numFmts>
  <fonts count="39">
    <font>
      <sz val="10"/>
      <name val="Arial"/>
      <charset val="178"/>
    </font>
    <font>
      <b/>
      <sz val="10"/>
      <name val="Times New Roman"/>
      <family val="1"/>
    </font>
    <font>
      <b/>
      <sz val="10"/>
      <name val="Arial"/>
      <family val="2"/>
    </font>
    <font>
      <b/>
      <sz val="9"/>
      <name val="Arial"/>
      <family val="2"/>
    </font>
    <font>
      <b/>
      <sz val="12"/>
      <name val="Arial"/>
      <family val="2"/>
    </font>
    <font>
      <sz val="8"/>
      <name val="Arial"/>
      <family val="2"/>
    </font>
    <font>
      <b/>
      <sz val="10"/>
      <name val="Simplified Arabic"/>
      <family val="1"/>
    </font>
    <font>
      <b/>
      <sz val="9"/>
      <name val="Simplified Arabic"/>
      <family val="1"/>
    </font>
    <font>
      <b/>
      <sz val="12"/>
      <name val="Times New Roman"/>
      <family val="1"/>
    </font>
    <font>
      <b/>
      <sz val="12"/>
      <name val="Simplified Arabic"/>
      <family val="1"/>
    </font>
    <font>
      <b/>
      <sz val="11"/>
      <name val="Simplified Arabic"/>
      <family val="1"/>
    </font>
    <font>
      <sz val="10"/>
      <name val="Arial"/>
      <family val="2"/>
    </font>
    <font>
      <sz val="9"/>
      <name val="Arial"/>
      <family val="2"/>
    </font>
    <font>
      <b/>
      <sz val="9"/>
      <name val="Times New Roman"/>
      <family val="1"/>
    </font>
    <font>
      <sz val="10"/>
      <name val="Arial"/>
      <family val="2"/>
    </font>
    <font>
      <b/>
      <sz val="10"/>
      <color theme="1"/>
      <name val="Arial"/>
      <family val="2"/>
    </font>
    <font>
      <b/>
      <sz val="10"/>
      <color theme="1"/>
      <name val="Times New Roman"/>
      <family val="1"/>
    </font>
    <font>
      <b/>
      <sz val="10"/>
      <color theme="1"/>
      <name val="Simplified Arabic"/>
      <family val="1"/>
    </font>
    <font>
      <b/>
      <sz val="11"/>
      <name val="Arial"/>
      <family val="2"/>
    </font>
    <font>
      <b/>
      <sz val="10"/>
      <color theme="0"/>
      <name val="Arial"/>
      <family val="2"/>
    </font>
    <font>
      <b/>
      <sz val="9"/>
      <color theme="0"/>
      <name val="Arial"/>
      <family val="2"/>
    </font>
    <font>
      <b/>
      <sz val="10"/>
      <name val="Cambria"/>
      <family val="1"/>
      <scheme val="major"/>
    </font>
    <font>
      <b/>
      <sz val="10"/>
      <color theme="0"/>
      <name val="Calibri"/>
      <family val="2"/>
    </font>
    <font>
      <b/>
      <sz val="9"/>
      <name val="Calibri"/>
      <family val="2"/>
      <scheme val="minor"/>
    </font>
    <font>
      <b/>
      <sz val="10"/>
      <name val="Calibri"/>
      <family val="2"/>
      <scheme val="minor"/>
    </font>
    <font>
      <b/>
      <sz val="9"/>
      <name val="Calibri"/>
      <family val="2"/>
    </font>
    <font>
      <sz val="9"/>
      <color indexed="81"/>
      <name val="Tahoma"/>
      <family val="2"/>
    </font>
    <font>
      <b/>
      <sz val="9"/>
      <color indexed="81"/>
      <name val="Tahoma"/>
      <family val="2"/>
    </font>
    <font>
      <b/>
      <sz val="10"/>
      <name val="Calibri"/>
      <family val="2"/>
    </font>
    <font>
      <b/>
      <sz val="8"/>
      <name val="Arial"/>
      <family val="2"/>
    </font>
    <font>
      <b/>
      <sz val="8"/>
      <color theme="0"/>
      <name val="Arial"/>
      <family val="2"/>
    </font>
    <font>
      <b/>
      <sz val="12"/>
      <name val="AL-Mohanad Bold"/>
      <charset val="178"/>
    </font>
    <font>
      <b/>
      <sz val="10"/>
      <color theme="0"/>
      <name val="Times New Roman"/>
      <family val="1"/>
    </font>
    <font>
      <sz val="9"/>
      <name val="Times New Roman"/>
      <family val="1"/>
    </font>
    <font>
      <b/>
      <sz val="9"/>
      <color theme="0"/>
      <name val="Times New Roman"/>
      <family val="1"/>
    </font>
    <font>
      <b/>
      <sz val="8"/>
      <name val="Times New Roman"/>
      <family val="1"/>
    </font>
    <font>
      <sz val="8"/>
      <name val="Times New Roman"/>
      <family val="1"/>
    </font>
    <font>
      <sz val="10"/>
      <name val="Lucida Bright"/>
      <family val="1"/>
    </font>
    <font>
      <sz val="9"/>
      <name val="Lucida Bright"/>
      <family val="1"/>
    </font>
  </fonts>
  <fills count="11">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rgb="FF007434"/>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rgb="FFFFFF00"/>
        <bgColor indexed="64"/>
      </patternFill>
    </fill>
    <fill>
      <patternFill patternType="solid">
        <fgColor theme="3" tint="0.59999389629810485"/>
        <bgColor indexed="64"/>
      </patternFill>
    </fill>
    <fill>
      <patternFill patternType="solid">
        <fgColor rgb="FFDEE9C9"/>
        <bgColor indexed="64"/>
      </patternFill>
    </fill>
    <fill>
      <patternFill patternType="solid">
        <fgColor theme="6" tint="-0.249977111117893"/>
        <bgColor indexed="64"/>
      </patternFill>
    </fill>
  </fills>
  <borders count="13">
    <border>
      <left/>
      <right/>
      <top/>
      <bottom/>
      <diagonal/>
    </border>
    <border>
      <left/>
      <right/>
      <top style="hair">
        <color indexed="64"/>
      </top>
      <bottom style="hair">
        <color indexed="64"/>
      </bottom>
      <diagonal/>
    </border>
    <border>
      <left/>
      <right/>
      <top style="double">
        <color indexed="64"/>
      </top>
      <bottom/>
      <diagonal/>
    </border>
    <border>
      <left/>
      <right/>
      <top style="hair">
        <color indexed="64"/>
      </top>
      <bottom style="thin">
        <color indexed="64"/>
      </bottom>
      <diagonal/>
    </border>
    <border>
      <left/>
      <right/>
      <top style="thin">
        <color indexed="64"/>
      </top>
      <bottom style="hair">
        <color indexed="64"/>
      </bottom>
      <diagonal/>
    </border>
    <border>
      <left/>
      <right/>
      <top/>
      <bottom style="hair">
        <color indexed="64"/>
      </bottom>
      <diagonal/>
    </border>
    <border>
      <left/>
      <right/>
      <top/>
      <bottom style="double">
        <color indexed="64"/>
      </bottom>
      <diagonal/>
    </border>
    <border>
      <left/>
      <right/>
      <top style="hair">
        <color indexed="64"/>
      </top>
      <bottom/>
      <diagonal/>
    </border>
    <border>
      <left/>
      <right/>
      <top style="thin">
        <color indexed="64"/>
      </top>
      <bottom/>
      <diagonal/>
    </border>
    <border>
      <left/>
      <right/>
      <top/>
      <bottom style="thin">
        <color indexed="64"/>
      </bottom>
      <diagonal/>
    </border>
    <border>
      <left/>
      <right/>
      <top style="double">
        <color indexed="64"/>
      </top>
      <bottom style="double">
        <color indexed="64"/>
      </bottom>
      <diagonal/>
    </border>
    <border>
      <left/>
      <right/>
      <top style="thin">
        <color indexed="64"/>
      </top>
      <bottom style="double">
        <color indexed="64"/>
      </bottom>
      <diagonal/>
    </border>
    <border>
      <left/>
      <right/>
      <top style="hair">
        <color indexed="64"/>
      </top>
      <bottom style="double">
        <color indexed="64"/>
      </bottom>
      <diagonal/>
    </border>
  </borders>
  <cellStyleXfs count="2">
    <xf numFmtId="0" fontId="0" fillId="0" borderId="0"/>
    <xf numFmtId="43" fontId="14" fillId="0" borderId="0" applyFont="0" applyFill="0" applyBorder="0" applyAlignment="0" applyProtection="0"/>
  </cellStyleXfs>
  <cellXfs count="553">
    <xf numFmtId="0" fontId="0" fillId="0" borderId="0" xfId="0"/>
    <xf numFmtId="0" fontId="0" fillId="0" borderId="0" xfId="0" applyBorder="1"/>
    <xf numFmtId="0" fontId="3" fillId="0" borderId="0" xfId="0" applyFont="1" applyBorder="1" applyAlignment="1">
      <alignment horizontal="right" vertical="center" wrapText="1"/>
    </xf>
    <xf numFmtId="0" fontId="10" fillId="0" borderId="0" xfId="0" applyFont="1" applyBorder="1" applyAlignment="1">
      <alignment horizontal="center" vertical="center" wrapText="1" readingOrder="2"/>
    </xf>
    <xf numFmtId="0" fontId="9" fillId="0" borderId="0" xfId="0" applyFont="1" applyBorder="1" applyAlignment="1">
      <alignment horizontal="center" vertical="center" wrapText="1"/>
    </xf>
    <xf numFmtId="0" fontId="12" fillId="0" borderId="0" xfId="0" applyFont="1"/>
    <xf numFmtId="0" fontId="7" fillId="0" borderId="0" xfId="0" applyFont="1" applyBorder="1" applyAlignment="1">
      <alignment horizontal="center" wrapText="1"/>
    </xf>
    <xf numFmtId="0" fontId="6" fillId="0" borderId="0" xfId="0" applyFont="1" applyBorder="1" applyAlignment="1">
      <alignment vertical="center" wrapText="1"/>
    </xf>
    <xf numFmtId="0" fontId="0" fillId="0" borderId="0" xfId="0"/>
    <xf numFmtId="0" fontId="3" fillId="0" borderId="0" xfId="0" applyFont="1" applyBorder="1" applyAlignment="1">
      <alignment horizontal="right" vertical="center" wrapText="1"/>
    </xf>
    <xf numFmtId="0" fontId="0" fillId="0" borderId="0" xfId="0"/>
    <xf numFmtId="0" fontId="12" fillId="0" borderId="0" xfId="0" applyFont="1" applyBorder="1"/>
    <xf numFmtId="0" fontId="0" fillId="0" borderId="0" xfId="0"/>
    <xf numFmtId="0" fontId="4" fillId="0" borderId="6" xfId="0" applyFont="1" applyFill="1" applyBorder="1" applyAlignment="1">
      <alignment horizontal="center" vertical="center" wrapText="1"/>
    </xf>
    <xf numFmtId="164" fontId="0" fillId="0" borderId="0" xfId="0" applyNumberFormat="1"/>
    <xf numFmtId="0" fontId="0" fillId="0" borderId="0" xfId="0"/>
    <xf numFmtId="0" fontId="0" fillId="0" borderId="0" xfId="0"/>
    <xf numFmtId="0" fontId="3" fillId="0" borderId="8" xfId="0" applyFont="1" applyBorder="1" applyAlignment="1">
      <alignment vertical="center" wrapText="1"/>
    </xf>
    <xf numFmtId="0" fontId="11" fillId="0" borderId="0" xfId="0" applyFont="1"/>
    <xf numFmtId="0" fontId="2" fillId="0" borderId="0" xfId="0" applyFont="1" applyBorder="1" applyAlignment="1">
      <alignment horizontal="center" vertical="center" wrapText="1"/>
    </xf>
    <xf numFmtId="0" fontId="0" fillId="0" borderId="0" xfId="0"/>
    <xf numFmtId="0" fontId="2" fillId="0" borderId="5" xfId="0" applyFont="1" applyBorder="1" applyAlignment="1">
      <alignment horizontal="right" vertical="center" wrapText="1"/>
    </xf>
    <xf numFmtId="0" fontId="0" fillId="0" borderId="0" xfId="0"/>
    <xf numFmtId="0" fontId="4" fillId="0" borderId="0" xfId="0" applyFont="1" applyFill="1" applyBorder="1" applyAlignment="1">
      <alignment horizontal="center" vertical="center" wrapText="1"/>
    </xf>
    <xf numFmtId="0" fontId="0" fillId="0" borderId="0" xfId="0"/>
    <xf numFmtId="0" fontId="2" fillId="0" borderId="4" xfId="0" applyFont="1" applyBorder="1" applyAlignment="1">
      <alignment horizontal="right" vertical="center" wrapText="1"/>
    </xf>
    <xf numFmtId="0" fontId="2" fillId="0" borderId="1" xfId="0" applyFont="1" applyBorder="1" applyAlignment="1">
      <alignment horizontal="right" vertical="center" wrapText="1"/>
    </xf>
    <xf numFmtId="0" fontId="0" fillId="3" borderId="0" xfId="0" applyFill="1"/>
    <xf numFmtId="0" fontId="2" fillId="2" borderId="5" xfId="0" applyFont="1" applyFill="1" applyBorder="1" applyAlignment="1">
      <alignment vertical="center" wrapText="1"/>
    </xf>
    <xf numFmtId="0" fontId="2" fillId="2" borderId="1" xfId="0" applyFont="1" applyFill="1" applyBorder="1" applyAlignment="1">
      <alignment vertical="center" wrapText="1"/>
    </xf>
    <xf numFmtId="3" fontId="1" fillId="2" borderId="1" xfId="0" applyNumberFormat="1" applyFont="1" applyFill="1" applyBorder="1" applyAlignment="1">
      <alignment vertical="center" wrapText="1"/>
    </xf>
    <xf numFmtId="0" fontId="2" fillId="2" borderId="7" xfId="0" applyFont="1" applyFill="1" applyBorder="1" applyAlignment="1">
      <alignment vertical="center" wrapText="1"/>
    </xf>
    <xf numFmtId="167" fontId="1" fillId="0" borderId="4" xfId="1" applyNumberFormat="1" applyFont="1" applyFill="1" applyBorder="1" applyAlignment="1">
      <alignment horizontal="right" vertical="center" wrapText="1"/>
    </xf>
    <xf numFmtId="167" fontId="1" fillId="0" borderId="5" xfId="1" applyNumberFormat="1" applyFont="1" applyFill="1" applyBorder="1" applyAlignment="1">
      <alignment horizontal="right" vertical="center" wrapText="1"/>
    </xf>
    <xf numFmtId="167" fontId="1" fillId="0" borderId="0" xfId="1" applyNumberFormat="1" applyFont="1" applyFill="1" applyBorder="1" applyAlignment="1">
      <alignment horizontal="right" vertical="center" wrapText="1"/>
    </xf>
    <xf numFmtId="0" fontId="11" fillId="3" borderId="0" xfId="0" applyFont="1" applyFill="1"/>
    <xf numFmtId="0" fontId="0" fillId="0" borderId="0" xfId="0"/>
    <xf numFmtId="0" fontId="15" fillId="0" borderId="4" xfId="0" applyFont="1" applyBorder="1" applyAlignment="1">
      <alignment vertical="center" wrapText="1" readingOrder="2"/>
    </xf>
    <xf numFmtId="0" fontId="15" fillId="0" borderId="1" xfId="0" applyFont="1" applyBorder="1" applyAlignment="1">
      <alignment vertical="center" wrapText="1" readingOrder="2"/>
    </xf>
    <xf numFmtId="0" fontId="15" fillId="0" borderId="7" xfId="0" applyFont="1" applyBorder="1" applyAlignment="1">
      <alignment vertical="center" wrapText="1" readingOrder="2"/>
    </xf>
    <xf numFmtId="167" fontId="1" fillId="0" borderId="5" xfId="1" applyNumberFormat="1" applyFont="1" applyFill="1" applyBorder="1" applyAlignment="1">
      <alignment horizontal="right" vertical="center" wrapText="1"/>
    </xf>
    <xf numFmtId="0" fontId="4" fillId="2" borderId="0" xfId="0" applyFont="1" applyFill="1" applyAlignment="1">
      <alignment vertical="center" wrapText="1"/>
    </xf>
    <xf numFmtId="0" fontId="3" fillId="0" borderId="0" xfId="0" applyFont="1" applyBorder="1" applyAlignment="1"/>
    <xf numFmtId="0" fontId="13" fillId="0" borderId="8" xfId="0" applyFont="1" applyBorder="1" applyAlignment="1">
      <alignment horizontal="left" vertical="center" wrapText="1"/>
    </xf>
    <xf numFmtId="0" fontId="13" fillId="0" borderId="8" xfId="0" applyFont="1" applyBorder="1" applyAlignment="1">
      <alignment vertical="center" wrapText="1"/>
    </xf>
    <xf numFmtId="0" fontId="0" fillId="0" borderId="0" xfId="0"/>
    <xf numFmtId="0" fontId="4" fillId="0" borderId="6" xfId="0" applyFont="1" applyFill="1" applyBorder="1" applyAlignment="1">
      <alignment vertical="center" wrapText="1" readingOrder="2"/>
    </xf>
    <xf numFmtId="0" fontId="4" fillId="0" borderId="0" xfId="0" applyFont="1" applyFill="1" applyAlignment="1">
      <alignment vertical="center" wrapText="1"/>
    </xf>
    <xf numFmtId="0" fontId="2" fillId="0" borderId="5" xfId="0" applyFont="1" applyFill="1" applyBorder="1" applyAlignment="1">
      <alignment horizontal="right" vertical="center" wrapText="1"/>
    </xf>
    <xf numFmtId="0" fontId="2" fillId="0" borderId="1" xfId="0" applyFont="1" applyFill="1" applyBorder="1" applyAlignment="1">
      <alignment horizontal="right" vertical="center" wrapText="1"/>
    </xf>
    <xf numFmtId="0" fontId="4" fillId="2" borderId="6" xfId="0" applyFont="1" applyFill="1" applyBorder="1" applyAlignment="1">
      <alignment vertical="center" wrapText="1"/>
    </xf>
    <xf numFmtId="0" fontId="0" fillId="0" borderId="6" xfId="0" applyBorder="1"/>
    <xf numFmtId="0" fontId="4" fillId="0" borderId="0" xfId="0" applyFont="1" applyBorder="1" applyAlignment="1">
      <alignment vertical="center" wrapText="1"/>
    </xf>
    <xf numFmtId="0" fontId="0" fillId="0" borderId="0" xfId="0"/>
    <xf numFmtId="0" fontId="0" fillId="2" borderId="0" xfId="0" applyFill="1"/>
    <xf numFmtId="0" fontId="11" fillId="2" borderId="0" xfId="0" applyFont="1" applyFill="1"/>
    <xf numFmtId="0" fontId="2" fillId="0" borderId="7" xfId="0" applyFont="1" applyBorder="1" applyAlignment="1">
      <alignment horizontal="right" vertical="center" wrapText="1"/>
    </xf>
    <xf numFmtId="0" fontId="0" fillId="4" borderId="0" xfId="0" applyFill="1"/>
    <xf numFmtId="0" fontId="2" fillId="5" borderId="10" xfId="0" applyFont="1" applyFill="1" applyBorder="1" applyAlignment="1">
      <alignment horizontal="right" vertical="center" wrapText="1"/>
    </xf>
    <xf numFmtId="167" fontId="1" fillId="5" borderId="10" xfId="1" applyNumberFormat="1" applyFont="1" applyFill="1" applyBorder="1" applyAlignment="1">
      <alignment horizontal="right" vertical="center" wrapText="1"/>
    </xf>
    <xf numFmtId="167" fontId="1" fillId="5" borderId="10" xfId="1" applyNumberFormat="1" applyFont="1" applyFill="1" applyBorder="1" applyAlignment="1">
      <alignment horizontal="center" vertical="center" wrapText="1"/>
    </xf>
    <xf numFmtId="0" fontId="0" fillId="0" borderId="2" xfId="0" applyBorder="1"/>
    <xf numFmtId="0" fontId="2" fillId="0" borderId="7" xfId="0" applyFont="1" applyFill="1" applyBorder="1" applyAlignment="1">
      <alignment horizontal="right" vertical="center" wrapText="1"/>
    </xf>
    <xf numFmtId="3" fontId="3" fillId="0" borderId="0" xfId="0" applyNumberFormat="1" applyFont="1" applyBorder="1" applyAlignment="1">
      <alignment vertical="center" wrapText="1"/>
    </xf>
    <xf numFmtId="0" fontId="1" fillId="0" borderId="5" xfId="1" applyNumberFormat="1" applyFont="1" applyFill="1" applyBorder="1" applyAlignment="1">
      <alignment vertical="center" wrapText="1"/>
    </xf>
    <xf numFmtId="168" fontId="1" fillId="2" borderId="1" xfId="0" applyNumberFormat="1" applyFont="1" applyFill="1" applyBorder="1" applyAlignment="1">
      <alignment vertical="center" wrapText="1"/>
    </xf>
    <xf numFmtId="168" fontId="1" fillId="2" borderId="7" xfId="0" applyNumberFormat="1" applyFont="1" applyFill="1" applyBorder="1" applyAlignment="1">
      <alignment vertical="center" wrapText="1"/>
    </xf>
    <xf numFmtId="0" fontId="2" fillId="0" borderId="0" xfId="0" applyFont="1" applyAlignment="1">
      <alignment horizontal="center"/>
    </xf>
    <xf numFmtId="0" fontId="0" fillId="6" borderId="0" xfId="0" applyFill="1"/>
    <xf numFmtId="0" fontId="15" fillId="0" borderId="7" xfId="0" applyFont="1" applyFill="1" applyBorder="1" applyAlignment="1">
      <alignment vertical="center" wrapText="1" readingOrder="2"/>
    </xf>
    <xf numFmtId="0" fontId="15" fillId="0" borderId="1" xfId="0" applyFont="1" applyFill="1" applyBorder="1" applyAlignment="1">
      <alignment vertical="center" wrapText="1" readingOrder="2"/>
    </xf>
    <xf numFmtId="3" fontId="16" fillId="0" borderId="1" xfId="1" applyNumberFormat="1" applyFont="1" applyFill="1" applyBorder="1" applyAlignment="1">
      <alignment vertical="center" wrapText="1"/>
    </xf>
    <xf numFmtId="0" fontId="15" fillId="0" borderId="5" xfId="0" applyFont="1" applyFill="1" applyBorder="1" applyAlignment="1">
      <alignment vertical="center" wrapText="1" readingOrder="2"/>
    </xf>
    <xf numFmtId="0" fontId="17" fillId="0" borderId="7" xfId="0" applyFont="1" applyFill="1" applyBorder="1" applyAlignment="1">
      <alignment vertical="center" wrapText="1" readingOrder="2"/>
    </xf>
    <xf numFmtId="3" fontId="1" fillId="0" borderId="1" xfId="1" applyNumberFormat="1" applyFont="1" applyFill="1" applyBorder="1" applyAlignment="1">
      <alignment vertical="center" wrapText="1"/>
    </xf>
    <xf numFmtId="0" fontId="2" fillId="5" borderId="6" xfId="0" applyFont="1" applyFill="1" applyBorder="1" applyAlignment="1">
      <alignment horizontal="right" vertical="center" wrapText="1"/>
    </xf>
    <xf numFmtId="0" fontId="3" fillId="0" borderId="0" xfId="0" applyFont="1" applyBorder="1" applyAlignment="1">
      <alignment vertical="center" wrapText="1"/>
    </xf>
    <xf numFmtId="3" fontId="1" fillId="0" borderId="7" xfId="1" applyNumberFormat="1" applyFont="1" applyFill="1" applyBorder="1" applyAlignment="1">
      <alignment vertical="center" wrapText="1"/>
    </xf>
    <xf numFmtId="168" fontId="1" fillId="2" borderId="5" xfId="0" applyNumberFormat="1" applyFont="1" applyFill="1" applyBorder="1" applyAlignment="1">
      <alignment vertical="center" wrapText="1"/>
    </xf>
    <xf numFmtId="0" fontId="3" fillId="0" borderId="0" xfId="0" applyFont="1" applyBorder="1" applyAlignment="1">
      <alignment horizontal="right" vertical="center" wrapText="1"/>
    </xf>
    <xf numFmtId="3" fontId="1" fillId="0" borderId="5" xfId="0" applyNumberFormat="1" applyFont="1" applyFill="1" applyBorder="1" applyAlignment="1">
      <alignment horizontal="left" vertical="center" wrapText="1"/>
    </xf>
    <xf numFmtId="168" fontId="1" fillId="2" borderId="0" xfId="0" applyNumberFormat="1" applyFont="1" applyFill="1" applyBorder="1" applyAlignment="1">
      <alignment vertical="center" wrapText="1"/>
    </xf>
    <xf numFmtId="0" fontId="2" fillId="5" borderId="10" xfId="0" applyFont="1" applyFill="1" applyBorder="1" applyAlignment="1">
      <alignment horizontal="right" vertical="center" wrapText="1"/>
    </xf>
    <xf numFmtId="167" fontId="23" fillId="5" borderId="3" xfId="1" applyNumberFormat="1" applyFont="1" applyFill="1" applyBorder="1" applyAlignment="1">
      <alignment horizontal="right" vertical="center" wrapText="1"/>
    </xf>
    <xf numFmtId="0" fontId="3" fillId="0" borderId="0" xfId="0" applyFont="1" applyBorder="1" applyAlignment="1">
      <alignment horizontal="right" vertical="center" wrapText="1"/>
    </xf>
    <xf numFmtId="0" fontId="2" fillId="0" borderId="1" xfId="0" applyFont="1" applyBorder="1" applyAlignment="1">
      <alignment horizontal="right" vertical="center" wrapText="1"/>
    </xf>
    <xf numFmtId="0" fontId="3" fillId="0" borderId="0" xfId="0" applyFont="1" applyFill="1" applyBorder="1" applyAlignment="1">
      <alignment horizontal="right" vertical="center" wrapText="1" readingOrder="2"/>
    </xf>
    <xf numFmtId="0" fontId="3" fillId="0" borderId="0" xfId="0" applyFont="1" applyFill="1" applyBorder="1" applyAlignment="1">
      <alignment vertical="center" wrapText="1" readingOrder="2"/>
    </xf>
    <xf numFmtId="0" fontId="4" fillId="0" borderId="6" xfId="0" applyFont="1" applyFill="1" applyBorder="1" applyAlignment="1">
      <alignment horizontal="center" vertical="center" wrapText="1"/>
    </xf>
    <xf numFmtId="169" fontId="1" fillId="0" borderId="1" xfId="1" applyNumberFormat="1" applyFont="1" applyFill="1" applyBorder="1" applyAlignment="1">
      <alignment horizontal="right" vertical="center" wrapText="1"/>
    </xf>
    <xf numFmtId="167" fontId="1" fillId="0" borderId="1" xfId="1" applyNumberFormat="1" applyFont="1" applyFill="1" applyBorder="1" applyAlignment="1">
      <alignment horizontal="right" vertical="center" wrapText="1"/>
    </xf>
    <xf numFmtId="167" fontId="1" fillId="0" borderId="7" xfId="1" applyNumberFormat="1" applyFont="1" applyFill="1" applyBorder="1" applyAlignment="1">
      <alignment horizontal="right" vertical="center" wrapText="1"/>
    </xf>
    <xf numFmtId="3" fontId="16" fillId="0" borderId="7" xfId="1" applyNumberFormat="1" applyFont="1" applyFill="1" applyBorder="1" applyAlignment="1">
      <alignment vertical="center" wrapText="1"/>
    </xf>
    <xf numFmtId="3" fontId="16" fillId="0" borderId="5" xfId="1" applyNumberFormat="1" applyFont="1" applyFill="1" applyBorder="1" applyAlignment="1">
      <alignment vertical="center" wrapText="1"/>
    </xf>
    <xf numFmtId="0" fontId="0" fillId="0" borderId="0" xfId="0" applyFill="1"/>
    <xf numFmtId="168" fontId="1" fillId="0" borderId="1" xfId="0" applyNumberFormat="1" applyFont="1" applyFill="1" applyBorder="1" applyAlignment="1">
      <alignment vertical="center" wrapText="1"/>
    </xf>
    <xf numFmtId="0" fontId="3" fillId="0" borderId="0" xfId="0" applyFont="1" applyBorder="1" applyAlignment="1">
      <alignment vertical="center" readingOrder="2"/>
    </xf>
    <xf numFmtId="3" fontId="1" fillId="0" borderId="5" xfId="1" applyNumberFormat="1" applyFont="1" applyFill="1" applyBorder="1" applyAlignment="1">
      <alignment vertical="center" wrapText="1"/>
    </xf>
    <xf numFmtId="3" fontId="1" fillId="5" borderId="10" xfId="1" applyNumberFormat="1" applyFont="1" applyFill="1" applyBorder="1" applyAlignment="1">
      <alignment vertical="center" wrapText="1"/>
    </xf>
    <xf numFmtId="164" fontId="0" fillId="0" borderId="0" xfId="0" applyNumberFormat="1" applyFill="1"/>
    <xf numFmtId="0" fontId="3" fillId="0" borderId="0" xfId="0" applyFont="1" applyBorder="1" applyAlignment="1">
      <alignment horizontal="right" vertical="center" wrapText="1"/>
    </xf>
    <xf numFmtId="167" fontId="1" fillId="0" borderId="1" xfId="1" applyNumberFormat="1" applyFont="1" applyFill="1" applyBorder="1" applyAlignment="1">
      <alignment horizontal="left" vertical="center" wrapText="1"/>
    </xf>
    <xf numFmtId="167" fontId="1" fillId="0" borderId="5" xfId="1" applyNumberFormat="1" applyFont="1" applyFill="1" applyBorder="1" applyAlignment="1">
      <alignment horizontal="left" vertical="center" wrapText="1"/>
    </xf>
    <xf numFmtId="167" fontId="1" fillId="0" borderId="4" xfId="1" applyNumberFormat="1" applyFont="1" applyFill="1" applyBorder="1" applyAlignment="1">
      <alignment horizontal="left" vertical="center" wrapText="1"/>
    </xf>
    <xf numFmtId="0" fontId="1" fillId="0" borderId="5" xfId="1" applyNumberFormat="1" applyFont="1" applyFill="1" applyBorder="1" applyAlignment="1">
      <alignment horizontal="left" vertical="center" wrapText="1"/>
    </xf>
    <xf numFmtId="0" fontId="1" fillId="0" borderId="0" xfId="1" applyNumberFormat="1" applyFont="1" applyFill="1" applyBorder="1" applyAlignment="1">
      <alignment horizontal="left" vertical="center" wrapText="1"/>
    </xf>
    <xf numFmtId="3" fontId="1" fillId="0" borderId="5" xfId="1" applyNumberFormat="1" applyFont="1" applyFill="1" applyBorder="1" applyAlignment="1">
      <alignment horizontal="left" vertical="center" wrapText="1"/>
    </xf>
    <xf numFmtId="167" fontId="1" fillId="5" borderId="10" xfId="1" applyNumberFormat="1" applyFont="1" applyFill="1" applyBorder="1" applyAlignment="1">
      <alignment horizontal="left" vertical="center" wrapText="1"/>
    </xf>
    <xf numFmtId="167" fontId="1" fillId="5" borderId="6" xfId="1" applyNumberFormat="1" applyFont="1" applyFill="1" applyBorder="1" applyAlignment="1">
      <alignment horizontal="left" vertical="center" wrapText="1"/>
    </xf>
    <xf numFmtId="0" fontId="2" fillId="2" borderId="0" xfId="0" applyFont="1" applyFill="1" applyBorder="1" applyAlignment="1">
      <alignment horizontal="right" vertical="center" wrapText="1"/>
    </xf>
    <xf numFmtId="3" fontId="1" fillId="2" borderId="0" xfId="1" applyNumberFormat="1" applyFont="1" applyFill="1" applyBorder="1" applyAlignment="1">
      <alignment vertical="center" wrapText="1"/>
    </xf>
    <xf numFmtId="0" fontId="18" fillId="0" borderId="6" xfId="0" applyFont="1" applyBorder="1" applyAlignment="1"/>
    <xf numFmtId="0" fontId="2" fillId="2" borderId="2" xfId="0" applyFont="1" applyFill="1" applyBorder="1" applyAlignment="1">
      <alignment horizontal="right" vertical="center" wrapText="1"/>
    </xf>
    <xf numFmtId="167" fontId="1" fillId="2" borderId="2" xfId="1" applyNumberFormat="1" applyFont="1" applyFill="1" applyBorder="1" applyAlignment="1">
      <alignment horizontal="right" vertical="center" wrapText="1" readingOrder="1"/>
    </xf>
    <xf numFmtId="3" fontId="1" fillId="2" borderId="2" xfId="0" applyNumberFormat="1" applyFont="1" applyFill="1" applyBorder="1" applyAlignment="1">
      <alignment vertical="center" wrapText="1"/>
    </xf>
    <xf numFmtId="0" fontId="3" fillId="0" borderId="0" xfId="0" applyFont="1" applyBorder="1" applyAlignment="1">
      <alignment horizontal="right" vertical="center" wrapText="1"/>
    </xf>
    <xf numFmtId="0" fontId="3" fillId="0" borderId="0" xfId="0" applyFont="1" applyFill="1" applyBorder="1" applyAlignment="1">
      <alignment horizontal="right" vertical="center" wrapText="1" readingOrder="2"/>
    </xf>
    <xf numFmtId="3" fontId="1" fillId="2" borderId="5" xfId="0" applyNumberFormat="1" applyFont="1" applyFill="1" applyBorder="1" applyAlignment="1">
      <alignment vertical="center" wrapText="1"/>
    </xf>
    <xf numFmtId="3" fontId="1" fillId="2" borderId="7" xfId="0" applyNumberFormat="1" applyFont="1" applyFill="1" applyBorder="1" applyAlignment="1">
      <alignment vertical="center" wrapText="1"/>
    </xf>
    <xf numFmtId="3" fontId="1" fillId="0" borderId="1" xfId="1" applyNumberFormat="1" applyFont="1" applyFill="1" applyBorder="1" applyAlignment="1">
      <alignment horizontal="left" vertical="center" wrapText="1"/>
    </xf>
    <xf numFmtId="3" fontId="1" fillId="2" borderId="5" xfId="1" applyNumberFormat="1" applyFont="1" applyFill="1" applyBorder="1" applyAlignment="1">
      <alignment horizontal="left" vertical="center" wrapText="1"/>
    </xf>
    <xf numFmtId="3" fontId="1" fillId="5" borderId="10" xfId="1" applyNumberFormat="1" applyFont="1" applyFill="1" applyBorder="1" applyAlignment="1">
      <alignment horizontal="left" vertical="center" wrapText="1"/>
    </xf>
    <xf numFmtId="0" fontId="2" fillId="5" borderId="11" xfId="0" applyFont="1" applyFill="1" applyBorder="1" applyAlignment="1">
      <alignment horizontal="right" vertical="center" wrapText="1"/>
    </xf>
    <xf numFmtId="3" fontId="1" fillId="5" borderId="11" xfId="0" applyNumberFormat="1" applyFont="1" applyFill="1" applyBorder="1" applyAlignment="1">
      <alignment vertical="center" wrapText="1"/>
    </xf>
    <xf numFmtId="3" fontId="1" fillId="2" borderId="0" xfId="0" applyNumberFormat="1" applyFont="1" applyFill="1" applyBorder="1" applyAlignment="1">
      <alignment vertical="center" wrapText="1"/>
    </xf>
    <xf numFmtId="168" fontId="1" fillId="5" borderId="11" xfId="0" applyNumberFormat="1" applyFont="1" applyFill="1" applyBorder="1" applyAlignment="1">
      <alignment vertical="center" wrapText="1"/>
    </xf>
    <xf numFmtId="3" fontId="1" fillId="0" borderId="0" xfId="1" applyNumberFormat="1" applyFont="1" applyFill="1" applyBorder="1" applyAlignment="1">
      <alignment horizontal="left" vertical="center" wrapText="1"/>
    </xf>
    <xf numFmtId="0" fontId="2" fillId="0" borderId="11" xfId="0" applyFont="1" applyBorder="1" applyAlignment="1">
      <alignment horizontal="right" vertical="center" wrapText="1"/>
    </xf>
    <xf numFmtId="167" fontId="1" fillId="0" borderId="11" xfId="1" applyNumberFormat="1" applyFont="1" applyFill="1" applyBorder="1" applyAlignment="1">
      <alignment horizontal="left" vertical="center" wrapText="1"/>
    </xf>
    <xf numFmtId="167" fontId="1" fillId="0" borderId="11" xfId="1" applyNumberFormat="1" applyFont="1" applyFill="1" applyBorder="1" applyAlignment="1">
      <alignment horizontal="center" vertical="center" wrapText="1"/>
    </xf>
    <xf numFmtId="3" fontId="1" fillId="0" borderId="11" xfId="1" applyNumberFormat="1" applyFont="1" applyFill="1" applyBorder="1" applyAlignment="1">
      <alignment horizontal="left" vertical="center" wrapText="1"/>
    </xf>
    <xf numFmtId="167" fontId="1" fillId="0" borderId="11" xfId="1" applyNumberFormat="1" applyFont="1" applyFill="1" applyBorder="1" applyAlignment="1">
      <alignment horizontal="right" vertical="center" wrapText="1"/>
    </xf>
    <xf numFmtId="3" fontId="16" fillId="0" borderId="0" xfId="1" applyNumberFormat="1" applyFont="1" applyFill="1" applyBorder="1" applyAlignment="1">
      <alignment vertical="center" wrapText="1"/>
    </xf>
    <xf numFmtId="0" fontId="17" fillId="0" borderId="11" xfId="0" applyFont="1" applyFill="1" applyBorder="1" applyAlignment="1">
      <alignment vertical="center" wrapText="1" readingOrder="2"/>
    </xf>
    <xf numFmtId="3" fontId="16" fillId="0" borderId="11" xfId="1" applyNumberFormat="1" applyFont="1" applyFill="1" applyBorder="1" applyAlignment="1">
      <alignment vertical="center" wrapText="1"/>
    </xf>
    <xf numFmtId="0" fontId="2" fillId="0" borderId="6" xfId="0" applyFont="1" applyFill="1" applyBorder="1" applyAlignment="1">
      <alignment horizontal="center" vertical="center" wrapText="1" readingOrder="2"/>
    </xf>
    <xf numFmtId="3" fontId="1" fillId="5" borderId="11" xfId="1" applyNumberFormat="1" applyFont="1" applyFill="1" applyBorder="1" applyAlignment="1">
      <alignment vertical="center" wrapText="1" readingOrder="1"/>
    </xf>
    <xf numFmtId="0" fontId="0" fillId="0" borderId="0" xfId="0" pivotButton="1"/>
    <xf numFmtId="0" fontId="0" fillId="0" borderId="0" xfId="0" applyAlignment="1">
      <alignment horizontal="right"/>
    </xf>
    <xf numFmtId="0" fontId="0" fillId="0" borderId="0" xfId="0" applyNumberFormat="1"/>
    <xf numFmtId="169" fontId="1" fillId="0" borderId="11" xfId="1" applyNumberFormat="1" applyFont="1" applyFill="1" applyBorder="1" applyAlignment="1">
      <alignment horizontal="left" vertical="center" wrapText="1"/>
    </xf>
    <xf numFmtId="169" fontId="1" fillId="5" borderId="10" xfId="1" applyNumberFormat="1" applyFont="1" applyFill="1" applyBorder="1" applyAlignment="1">
      <alignment horizontal="left" vertical="center" wrapText="1"/>
    </xf>
    <xf numFmtId="164" fontId="1" fillId="0" borderId="11" xfId="1" applyNumberFormat="1" applyFont="1" applyFill="1" applyBorder="1" applyAlignment="1">
      <alignment horizontal="left" vertical="center" wrapText="1"/>
    </xf>
    <xf numFmtId="168" fontId="1" fillId="5" borderId="6" xfId="1" applyNumberFormat="1" applyFont="1" applyFill="1" applyBorder="1" applyAlignment="1">
      <alignment horizontal="left" vertical="center" wrapText="1"/>
    </xf>
    <xf numFmtId="170" fontId="1" fillId="5" borderId="10" xfId="1" applyNumberFormat="1" applyFont="1" applyFill="1" applyBorder="1" applyAlignment="1">
      <alignment horizontal="left" vertical="center" wrapText="1"/>
    </xf>
    <xf numFmtId="164" fontId="1" fillId="0" borderId="0" xfId="1" applyNumberFormat="1" applyFont="1" applyFill="1" applyBorder="1" applyAlignment="1">
      <alignment vertical="center" wrapText="1"/>
    </xf>
    <xf numFmtId="164" fontId="1" fillId="0" borderId="5" xfId="1" applyNumberFormat="1" applyFont="1" applyFill="1" applyBorder="1" applyAlignment="1">
      <alignment vertical="center" wrapText="1"/>
    </xf>
    <xf numFmtId="167" fontId="1" fillId="0" borderId="12" xfId="1" applyNumberFormat="1" applyFont="1" applyFill="1" applyBorder="1" applyAlignment="1">
      <alignment horizontal="right" vertical="center" wrapText="1"/>
    </xf>
    <xf numFmtId="169" fontId="1" fillId="0" borderId="12" xfId="1" applyNumberFormat="1" applyFont="1" applyFill="1" applyBorder="1" applyAlignment="1">
      <alignment horizontal="right" vertical="center" wrapText="1"/>
    </xf>
    <xf numFmtId="3" fontId="1" fillId="5" borderId="6" xfId="1" applyNumberFormat="1" applyFont="1" applyFill="1" applyBorder="1" applyAlignment="1">
      <alignment vertical="center" wrapText="1"/>
    </xf>
    <xf numFmtId="168" fontId="16" fillId="0" borderId="11" xfId="1" applyNumberFormat="1" applyFont="1" applyFill="1" applyBorder="1" applyAlignment="1">
      <alignment vertical="center" wrapText="1"/>
    </xf>
    <xf numFmtId="0" fontId="0" fillId="7" borderId="0" xfId="0" applyFill="1"/>
    <xf numFmtId="0" fontId="11" fillId="7" borderId="0" xfId="0" applyFont="1" applyFill="1"/>
    <xf numFmtId="0" fontId="11" fillId="0" borderId="0" xfId="0" applyFont="1" applyFill="1"/>
    <xf numFmtId="0" fontId="1" fillId="0" borderId="5" xfId="1" applyNumberFormat="1" applyFont="1" applyFill="1" applyBorder="1" applyAlignment="1">
      <alignment horizontal="right" vertical="center" wrapText="1"/>
    </xf>
    <xf numFmtId="0" fontId="19" fillId="4" borderId="2" xfId="0" applyFont="1" applyFill="1" applyBorder="1" applyAlignment="1">
      <alignment horizontal="center" vertical="center" wrapText="1"/>
    </xf>
    <xf numFmtId="3" fontId="16" fillId="0" borderId="12" xfId="1" applyNumberFormat="1" applyFont="1" applyFill="1" applyBorder="1" applyAlignment="1">
      <alignment vertical="center" wrapText="1"/>
    </xf>
    <xf numFmtId="168" fontId="16" fillId="0" borderId="1" xfId="1" applyNumberFormat="1" applyFont="1" applyFill="1" applyBorder="1" applyAlignment="1">
      <alignment horizontal="left" vertical="center" wrapText="1"/>
    </xf>
    <xf numFmtId="3" fontId="16" fillId="0" borderId="4" xfId="1" applyNumberFormat="1" applyFont="1" applyFill="1" applyBorder="1" applyAlignment="1">
      <alignment horizontal="left" vertical="center" wrapText="1"/>
    </xf>
    <xf numFmtId="168" fontId="16" fillId="0" borderId="4" xfId="1" applyNumberFormat="1" applyFont="1" applyFill="1" applyBorder="1" applyAlignment="1">
      <alignment horizontal="left" vertical="center" wrapText="1"/>
    </xf>
    <xf numFmtId="3" fontId="16" fillId="0" borderId="1" xfId="1" applyNumberFormat="1" applyFont="1" applyFill="1" applyBorder="1" applyAlignment="1">
      <alignment horizontal="left" vertical="center" wrapText="1"/>
    </xf>
    <xf numFmtId="168" fontId="1" fillId="0" borderId="1" xfId="1" applyNumberFormat="1" applyFont="1" applyFill="1" applyBorder="1" applyAlignment="1">
      <alignment horizontal="left" vertical="center" wrapText="1"/>
    </xf>
    <xf numFmtId="3" fontId="16" fillId="0" borderId="12" xfId="1" applyNumberFormat="1" applyFont="1" applyFill="1" applyBorder="1" applyAlignment="1">
      <alignment horizontal="right" vertical="center" wrapText="1"/>
    </xf>
    <xf numFmtId="168" fontId="0" fillId="0" borderId="0" xfId="0" applyNumberFormat="1"/>
    <xf numFmtId="169" fontId="0" fillId="0" borderId="0" xfId="0" applyNumberFormat="1"/>
    <xf numFmtId="170" fontId="0" fillId="0" borderId="0" xfId="0" applyNumberFormat="1"/>
    <xf numFmtId="0" fontId="4" fillId="0" borderId="6" xfId="0" applyFont="1" applyFill="1" applyBorder="1" applyAlignment="1">
      <alignment horizontal="center" vertical="center" wrapText="1"/>
    </xf>
    <xf numFmtId="0" fontId="3" fillId="5" borderId="7" xfId="0" applyFont="1" applyFill="1" applyBorder="1" applyAlignment="1">
      <alignment horizontal="right" vertical="center" wrapText="1"/>
    </xf>
    <xf numFmtId="167" fontId="1" fillId="0" borderId="1" xfId="1" applyNumberFormat="1" applyFont="1" applyFill="1" applyBorder="1" applyAlignment="1">
      <alignment horizontal="right" vertical="center" wrapText="1"/>
    </xf>
    <xf numFmtId="168" fontId="16" fillId="0" borderId="5" xfId="1" applyNumberFormat="1" applyFont="1" applyFill="1" applyBorder="1" applyAlignment="1">
      <alignment vertical="center" wrapText="1"/>
    </xf>
    <xf numFmtId="168" fontId="16" fillId="0" borderId="7" xfId="1" applyNumberFormat="1" applyFont="1" applyFill="1" applyBorder="1" applyAlignment="1">
      <alignment vertical="center" wrapText="1"/>
    </xf>
    <xf numFmtId="168" fontId="1" fillId="5" borderId="11" xfId="1" applyNumberFormat="1" applyFont="1" applyFill="1" applyBorder="1" applyAlignment="1">
      <alignment vertical="center" wrapText="1"/>
    </xf>
    <xf numFmtId="0" fontId="3" fillId="0" borderId="0" xfId="0" applyFont="1" applyBorder="1" applyAlignment="1">
      <alignment horizontal="right" vertical="center" wrapText="1"/>
    </xf>
    <xf numFmtId="3" fontId="1" fillId="2" borderId="2" xfId="1" applyNumberFormat="1" applyFont="1" applyFill="1" applyBorder="1" applyAlignment="1">
      <alignment vertical="center" wrapText="1"/>
    </xf>
    <xf numFmtId="168" fontId="1" fillId="0" borderId="7" xfId="0" applyNumberFormat="1" applyFont="1" applyFill="1" applyBorder="1" applyAlignment="1">
      <alignment vertical="center" wrapText="1"/>
    </xf>
    <xf numFmtId="1" fontId="1" fillId="0" borderId="4" xfId="1" applyNumberFormat="1" applyFont="1" applyFill="1" applyBorder="1" applyAlignment="1">
      <alignment horizontal="left" vertical="center" wrapText="1"/>
    </xf>
    <xf numFmtId="3" fontId="1" fillId="0" borderId="1" xfId="1" applyNumberFormat="1" applyFont="1" applyFill="1" applyBorder="1" applyAlignment="1">
      <alignment horizontal="right" vertical="center" wrapText="1"/>
    </xf>
    <xf numFmtId="167" fontId="1" fillId="0" borderId="8" xfId="1" applyNumberFormat="1" applyFont="1" applyFill="1" applyBorder="1" applyAlignment="1">
      <alignment horizontal="left" vertical="center" wrapText="1"/>
    </xf>
    <xf numFmtId="3" fontId="1" fillId="0" borderId="7" xfId="1" applyNumberFormat="1" applyFont="1" applyFill="1" applyBorder="1" applyAlignment="1">
      <alignment horizontal="right" vertical="center" wrapText="1"/>
    </xf>
    <xf numFmtId="168" fontId="16" fillId="0" borderId="12" xfId="1" applyNumberFormat="1" applyFont="1" applyFill="1" applyBorder="1" applyAlignment="1">
      <alignment vertical="center" wrapText="1"/>
    </xf>
    <xf numFmtId="0" fontId="5" fillId="0" borderId="0" xfId="0" applyFont="1" applyBorder="1"/>
    <xf numFmtId="0" fontId="29" fillId="0" borderId="0" xfId="0" applyFont="1" applyBorder="1" applyAlignment="1">
      <alignment horizontal="right" vertical="center" readingOrder="2"/>
    </xf>
    <xf numFmtId="0" fontId="3" fillId="0" borderId="0" xfId="0" applyFont="1" applyBorder="1" applyAlignment="1">
      <alignment horizontal="right" vertical="center" readingOrder="2"/>
    </xf>
    <xf numFmtId="0" fontId="15" fillId="0" borderId="7" xfId="0" applyFont="1" applyFill="1" applyBorder="1" applyAlignment="1">
      <alignment horizontal="right" vertical="center" wrapText="1" readingOrder="1"/>
    </xf>
    <xf numFmtId="3" fontId="16" fillId="0" borderId="7" xfId="1" applyNumberFormat="1" applyFont="1" applyFill="1" applyBorder="1" applyAlignment="1">
      <alignment vertical="center"/>
    </xf>
    <xf numFmtId="0" fontId="3" fillId="0" borderId="0" xfId="0" applyFont="1" applyBorder="1" applyAlignment="1">
      <alignment horizontal="right" vertical="center"/>
    </xf>
    <xf numFmtId="0" fontId="3" fillId="8" borderId="0" xfId="0" applyFont="1" applyFill="1" applyBorder="1" applyAlignment="1">
      <alignment horizontal="right" vertical="center" wrapText="1" readingOrder="2"/>
    </xf>
    <xf numFmtId="0" fontId="0" fillId="0" borderId="0" xfId="0" applyAlignment="1"/>
    <xf numFmtId="168" fontId="1" fillId="0" borderId="0" xfId="0" applyNumberFormat="1" applyFont="1" applyFill="1" applyBorder="1" applyAlignment="1">
      <alignment horizontal="left" vertical="center" wrapText="1"/>
    </xf>
    <xf numFmtId="168" fontId="1" fillId="0" borderId="1" xfId="0" applyNumberFormat="1" applyFont="1" applyFill="1" applyBorder="1" applyAlignment="1">
      <alignment horizontal="left" vertical="center" wrapText="1"/>
    </xf>
    <xf numFmtId="0" fontId="2" fillId="0" borderId="5" xfId="0" applyFont="1" applyFill="1" applyBorder="1" applyAlignment="1">
      <alignment vertical="center" wrapText="1"/>
    </xf>
    <xf numFmtId="0" fontId="2" fillId="0" borderId="1" xfId="0" applyFont="1" applyFill="1" applyBorder="1" applyAlignment="1">
      <alignment vertical="center" wrapText="1"/>
    </xf>
    <xf numFmtId="0" fontId="2" fillId="0" borderId="7" xfId="0" applyFont="1" applyFill="1" applyBorder="1" applyAlignment="1">
      <alignment vertical="center" wrapText="1"/>
    </xf>
    <xf numFmtId="168" fontId="1" fillId="0" borderId="0" xfId="0" applyNumberFormat="1" applyFont="1" applyFill="1" applyBorder="1" applyAlignment="1">
      <alignment vertical="center" wrapText="1"/>
    </xf>
    <xf numFmtId="0" fontId="1" fillId="0" borderId="0" xfId="0" applyFont="1" applyFill="1" applyAlignment="1"/>
    <xf numFmtId="168" fontId="1" fillId="0" borderId="1" xfId="0" applyNumberFormat="1" applyFont="1" applyFill="1" applyBorder="1" applyAlignment="1">
      <alignment wrapText="1"/>
    </xf>
    <xf numFmtId="0" fontId="1" fillId="0" borderId="0" xfId="0" applyFont="1" applyFill="1" applyAlignment="1">
      <alignment vertical="center"/>
    </xf>
    <xf numFmtId="0" fontId="1" fillId="0" borderId="1" xfId="0" applyFont="1" applyFill="1" applyBorder="1" applyAlignment="1"/>
    <xf numFmtId="0" fontId="1" fillId="0" borderId="1" xfId="0" applyFont="1" applyFill="1" applyBorder="1" applyAlignment="1">
      <alignment vertical="center"/>
    </xf>
    <xf numFmtId="0" fontId="3" fillId="0" borderId="0" xfId="0" applyFont="1" applyBorder="1" applyAlignment="1">
      <alignment horizontal="right" vertical="center" wrapText="1"/>
    </xf>
    <xf numFmtId="167" fontId="1" fillId="0" borderId="1" xfId="1" applyNumberFormat="1" applyFont="1" applyFill="1" applyBorder="1" applyAlignment="1">
      <alignment horizontal="right" vertical="center" wrapText="1"/>
    </xf>
    <xf numFmtId="167" fontId="1" fillId="0" borderId="7" xfId="1" applyNumberFormat="1" applyFont="1" applyFill="1" applyBorder="1" applyAlignment="1">
      <alignment horizontal="right" vertical="center" wrapText="1"/>
    </xf>
    <xf numFmtId="0" fontId="21" fillId="0" borderId="2" xfId="0" applyFont="1" applyFill="1" applyBorder="1" applyAlignment="1">
      <alignment vertical="center" wrapText="1"/>
    </xf>
    <xf numFmtId="167" fontId="1" fillId="0" borderId="1" xfId="1" applyNumberFormat="1" applyFont="1" applyFill="1" applyBorder="1" applyAlignment="1">
      <alignment horizontal="right" vertical="center" wrapText="1"/>
    </xf>
    <xf numFmtId="167" fontId="1" fillId="0" borderId="7" xfId="1" applyNumberFormat="1" applyFont="1" applyFill="1" applyBorder="1" applyAlignment="1">
      <alignment horizontal="right" vertical="center" wrapText="1"/>
    </xf>
    <xf numFmtId="3" fontId="16" fillId="0" borderId="7" xfId="1" applyNumberFormat="1" applyFont="1" applyFill="1" applyBorder="1" applyAlignment="1">
      <alignment horizontal="left" vertical="center" wrapText="1"/>
    </xf>
    <xf numFmtId="168" fontId="16" fillId="0" borderId="7" xfId="1" applyNumberFormat="1" applyFont="1" applyFill="1" applyBorder="1" applyAlignment="1">
      <alignment horizontal="left" vertical="center" wrapText="1"/>
    </xf>
    <xf numFmtId="167" fontId="16" fillId="0" borderId="12" xfId="1" applyNumberFormat="1" applyFont="1" applyFill="1" applyBorder="1" applyAlignment="1">
      <alignment vertical="center" wrapText="1"/>
    </xf>
    <xf numFmtId="169" fontId="1" fillId="0" borderId="7" xfId="1" applyNumberFormat="1" applyFont="1" applyFill="1" applyBorder="1" applyAlignment="1">
      <alignment horizontal="right" vertical="center" wrapText="1"/>
    </xf>
    <xf numFmtId="3" fontId="16" fillId="0" borderId="2" xfId="1" applyNumberFormat="1" applyFont="1" applyFill="1" applyBorder="1" applyAlignment="1">
      <alignment horizontal="right" vertical="center" wrapText="1"/>
    </xf>
    <xf numFmtId="167" fontId="1" fillId="0" borderId="2" xfId="1" applyNumberFormat="1" applyFont="1" applyFill="1" applyBorder="1" applyAlignment="1">
      <alignment horizontal="right" vertical="center" wrapText="1"/>
    </xf>
    <xf numFmtId="169" fontId="1" fillId="0" borderId="2" xfId="1" applyNumberFormat="1" applyFont="1" applyFill="1" applyBorder="1" applyAlignment="1">
      <alignment horizontal="right" vertical="center" wrapText="1"/>
    </xf>
    <xf numFmtId="0" fontId="2" fillId="0" borderId="8" xfId="0" applyFont="1" applyBorder="1" applyAlignment="1">
      <alignment horizontal="right" vertical="center" wrapText="1"/>
    </xf>
    <xf numFmtId="3" fontId="1" fillId="0" borderId="8" xfId="1" applyNumberFormat="1" applyFont="1" applyFill="1" applyBorder="1" applyAlignment="1">
      <alignment vertical="center" wrapText="1"/>
    </xf>
    <xf numFmtId="3" fontId="21" fillId="0" borderId="8" xfId="0" applyNumberFormat="1" applyFont="1" applyBorder="1" applyAlignment="1">
      <alignment vertical="center" wrapText="1"/>
    </xf>
    <xf numFmtId="0" fontId="2" fillId="5" borderId="11" xfId="0" applyFont="1" applyFill="1" applyBorder="1" applyAlignment="1">
      <alignment horizontal="right" vertical="center" wrapText="1"/>
    </xf>
    <xf numFmtId="168" fontId="1" fillId="5" borderId="11" xfId="0" applyNumberFormat="1" applyFont="1" applyFill="1" applyBorder="1" applyAlignment="1">
      <alignment horizontal="left" vertical="center" wrapText="1"/>
    </xf>
    <xf numFmtId="168" fontId="1" fillId="5" borderId="11" xfId="0" applyNumberFormat="1" applyFont="1" applyFill="1" applyBorder="1" applyAlignment="1">
      <alignment horizontal="center" vertical="center" wrapText="1"/>
    </xf>
    <xf numFmtId="0" fontId="3" fillId="0" borderId="0" xfId="0" applyFont="1" applyBorder="1" applyAlignment="1">
      <alignment horizontal="right" vertical="center" wrapText="1"/>
    </xf>
    <xf numFmtId="166" fontId="19" fillId="4" borderId="0" xfId="0" applyNumberFormat="1" applyFont="1" applyFill="1" applyBorder="1" applyAlignment="1">
      <alignment horizontal="right" vertical="center" wrapText="1"/>
    </xf>
    <xf numFmtId="0" fontId="4" fillId="0" borderId="0" xfId="0" applyFont="1" applyFill="1" applyBorder="1" applyAlignment="1">
      <alignment horizontal="center" vertical="center" wrapText="1"/>
    </xf>
    <xf numFmtId="167" fontId="1" fillId="0" borderId="1" xfId="1" applyNumberFormat="1" applyFont="1" applyFill="1" applyBorder="1" applyAlignment="1">
      <alignment horizontal="right" vertical="center" wrapText="1"/>
    </xf>
    <xf numFmtId="167" fontId="1" fillId="0" borderId="7" xfId="1" applyNumberFormat="1" applyFont="1" applyFill="1" applyBorder="1" applyAlignment="1">
      <alignment horizontal="right" vertical="center" wrapText="1"/>
    </xf>
    <xf numFmtId="3" fontId="1" fillId="0" borderId="0" xfId="1" applyNumberFormat="1" applyFont="1" applyFill="1" applyBorder="1" applyAlignment="1">
      <alignment vertical="center" wrapText="1"/>
    </xf>
    <xf numFmtId="0" fontId="3" fillId="0" borderId="0" xfId="0" applyFont="1" applyBorder="1" applyAlignment="1">
      <alignment horizontal="right" vertical="center" wrapText="1"/>
    </xf>
    <xf numFmtId="0" fontId="4" fillId="0" borderId="0" xfId="0" applyFont="1" applyFill="1" applyBorder="1" applyAlignment="1">
      <alignment horizontal="center" vertical="center" wrapText="1"/>
    </xf>
    <xf numFmtId="0" fontId="3" fillId="0" borderId="0" xfId="0" applyFont="1" applyFill="1" applyBorder="1" applyAlignment="1">
      <alignment horizontal="right" vertical="center" wrapText="1" readingOrder="2"/>
    </xf>
    <xf numFmtId="0" fontId="3" fillId="0" borderId="0" xfId="0" applyFont="1" applyBorder="1" applyAlignment="1">
      <alignment vertical="center" wrapText="1"/>
    </xf>
    <xf numFmtId="3" fontId="16" fillId="0" borderId="7" xfId="1" applyNumberFormat="1" applyFont="1" applyFill="1" applyBorder="1" applyAlignment="1">
      <alignment horizontal="right" vertical="center" wrapText="1"/>
    </xf>
    <xf numFmtId="167" fontId="16" fillId="0" borderId="7" xfId="1" applyNumberFormat="1" applyFont="1" applyFill="1" applyBorder="1" applyAlignment="1">
      <alignment vertical="center" wrapText="1"/>
    </xf>
    <xf numFmtId="169" fontId="1" fillId="0" borderId="0" xfId="1" applyNumberFormat="1" applyFont="1" applyFill="1" applyBorder="1" applyAlignment="1">
      <alignment horizontal="right" vertical="center" wrapText="1"/>
    </xf>
    <xf numFmtId="0" fontId="13" fillId="0" borderId="0" xfId="0" applyFont="1" applyBorder="1" applyAlignment="1">
      <alignment vertical="center" wrapText="1"/>
    </xf>
    <xf numFmtId="0" fontId="16" fillId="0" borderId="4" xfId="0" applyFont="1" applyBorder="1" applyAlignment="1">
      <alignment horizontal="right" vertical="center"/>
    </xf>
    <xf numFmtId="0" fontId="16" fillId="0" borderId="1" xfId="0" applyFont="1" applyBorder="1" applyAlignment="1">
      <alignment horizontal="right" vertical="center"/>
    </xf>
    <xf numFmtId="0" fontId="16" fillId="0" borderId="7" xfId="0" applyFont="1" applyBorder="1" applyAlignment="1">
      <alignment horizontal="right" vertical="center"/>
    </xf>
    <xf numFmtId="3" fontId="16" fillId="0" borderId="6" xfId="1" applyNumberFormat="1" applyFont="1" applyFill="1" applyBorder="1" applyAlignment="1">
      <alignment horizontal="right" vertical="center" wrapText="1"/>
    </xf>
    <xf numFmtId="167" fontId="1" fillId="0" borderId="6" xfId="1" applyNumberFormat="1" applyFont="1" applyFill="1" applyBorder="1" applyAlignment="1">
      <alignment horizontal="right" vertical="center" wrapText="1"/>
    </xf>
    <xf numFmtId="169" fontId="1" fillId="0" borderId="6" xfId="1" applyNumberFormat="1" applyFont="1" applyFill="1" applyBorder="1" applyAlignment="1">
      <alignment horizontal="right" vertical="center" wrapText="1"/>
    </xf>
    <xf numFmtId="3" fontId="16" fillId="0" borderId="1" xfId="1" applyNumberFormat="1" applyFont="1" applyFill="1" applyBorder="1" applyAlignment="1">
      <alignment horizontal="right" vertical="center" wrapText="1"/>
    </xf>
    <xf numFmtId="167" fontId="16" fillId="0" borderId="4" xfId="1" applyNumberFormat="1" applyFont="1" applyBorder="1" applyAlignment="1">
      <alignment horizontal="right" vertical="center"/>
    </xf>
    <xf numFmtId="167" fontId="16" fillId="0" borderId="1" xfId="1" applyNumberFormat="1" applyFont="1" applyBorder="1" applyAlignment="1">
      <alignment horizontal="right" vertical="center"/>
    </xf>
    <xf numFmtId="169" fontId="16" fillId="0" borderId="1" xfId="1" applyNumberFormat="1" applyFont="1" applyBorder="1" applyAlignment="1">
      <alignment horizontal="right" vertical="center"/>
    </xf>
    <xf numFmtId="167" fontId="3" fillId="4" borderId="9" xfId="1" applyNumberFormat="1" applyFont="1" applyFill="1" applyBorder="1" applyAlignment="1">
      <alignment horizontal="right" vertical="center" wrapText="1"/>
    </xf>
    <xf numFmtId="1" fontId="1" fillId="0" borderId="8" xfId="1" applyNumberFormat="1" applyFont="1" applyFill="1" applyBorder="1" applyAlignment="1">
      <alignment horizontal="left" vertical="center" wrapText="1"/>
    </xf>
    <xf numFmtId="3" fontId="1" fillId="0" borderId="8" xfId="1" applyNumberFormat="1" applyFont="1" applyFill="1" applyBorder="1" applyAlignment="1">
      <alignment horizontal="left" vertical="center" wrapText="1"/>
    </xf>
    <xf numFmtId="1" fontId="1" fillId="0" borderId="0" xfId="1" applyNumberFormat="1" applyFont="1" applyFill="1" applyBorder="1" applyAlignment="1">
      <alignment horizontal="left" vertical="center" wrapText="1"/>
    </xf>
    <xf numFmtId="1" fontId="1" fillId="0" borderId="1" xfId="1" applyNumberFormat="1" applyFont="1" applyFill="1" applyBorder="1" applyAlignment="1">
      <alignment horizontal="left" vertical="center" wrapText="1"/>
    </xf>
    <xf numFmtId="0" fontId="1" fillId="0" borderId="1" xfId="0" applyFont="1" applyFill="1" applyBorder="1" applyAlignment="1">
      <alignment vertical="center" wrapText="1"/>
    </xf>
    <xf numFmtId="0" fontId="1" fillId="0" borderId="7" xfId="0" applyFont="1" applyFill="1" applyBorder="1" applyAlignment="1">
      <alignment vertical="center" wrapText="1"/>
    </xf>
    <xf numFmtId="0" fontId="1" fillId="0" borderId="12" xfId="0" applyFont="1" applyFill="1" applyBorder="1" applyAlignment="1">
      <alignment vertical="center" wrapText="1"/>
    </xf>
    <xf numFmtId="0" fontId="21" fillId="0" borderId="0" xfId="0" applyFont="1" applyFill="1" applyBorder="1" applyAlignment="1">
      <alignment vertical="center" wrapText="1"/>
    </xf>
    <xf numFmtId="0" fontId="29" fillId="0" borderId="9" xfId="0" applyFont="1" applyBorder="1" applyAlignment="1">
      <alignment horizontal="right" vertical="center" wrapText="1"/>
    </xf>
    <xf numFmtId="0" fontId="2" fillId="0" borderId="0" xfId="0" applyFont="1" applyBorder="1" applyAlignment="1">
      <alignment horizontal="right" vertical="center"/>
    </xf>
    <xf numFmtId="0" fontId="19" fillId="4" borderId="0" xfId="0" applyFont="1" applyFill="1" applyBorder="1" applyAlignment="1">
      <alignment vertical="center" wrapText="1"/>
    </xf>
    <xf numFmtId="169" fontId="1" fillId="0" borderId="0" xfId="1" applyNumberFormat="1" applyFont="1" applyFill="1" applyBorder="1" applyAlignment="1">
      <alignment horizontal="left" vertical="center" wrapText="1"/>
    </xf>
    <xf numFmtId="0" fontId="2" fillId="5" borderId="0" xfId="0" applyFont="1" applyFill="1" applyBorder="1" applyAlignment="1">
      <alignment horizontal="right" vertical="center" wrapText="1"/>
    </xf>
    <xf numFmtId="164" fontId="1" fillId="0" borderId="0" xfId="1" applyNumberFormat="1" applyFont="1" applyFill="1" applyBorder="1" applyAlignment="1">
      <alignment horizontal="left" vertical="center" wrapText="1"/>
    </xf>
    <xf numFmtId="170" fontId="1" fillId="5" borderId="0" xfId="1" applyNumberFormat="1" applyFont="1" applyFill="1" applyBorder="1" applyAlignment="1">
      <alignment horizontal="left" vertical="center" wrapText="1"/>
    </xf>
    <xf numFmtId="168" fontId="1" fillId="5" borderId="0" xfId="1" applyNumberFormat="1" applyFont="1" applyFill="1" applyBorder="1" applyAlignment="1">
      <alignment horizontal="left" vertical="center" wrapText="1"/>
    </xf>
    <xf numFmtId="0" fontId="3" fillId="0" borderId="8" xfId="0" applyFont="1" applyBorder="1" applyAlignment="1">
      <alignment horizontal="right" vertical="center" wrapText="1"/>
    </xf>
    <xf numFmtId="0" fontId="3" fillId="0" borderId="0" xfId="0" applyFont="1" applyBorder="1" applyAlignment="1">
      <alignment horizontal="right" vertical="center" wrapText="1"/>
    </xf>
    <xf numFmtId="0" fontId="3" fillId="0" borderId="0" xfId="0" applyFont="1" applyBorder="1" applyAlignment="1">
      <alignment horizontal="right" vertical="center" readingOrder="2"/>
    </xf>
    <xf numFmtId="0" fontId="3" fillId="0" borderId="0" xfId="0" applyFont="1" applyFill="1" applyBorder="1" applyAlignment="1">
      <alignment horizontal="right" vertical="center" wrapText="1" readingOrder="2"/>
    </xf>
    <xf numFmtId="0" fontId="3" fillId="0" borderId="9" xfId="0" applyFont="1" applyBorder="1" applyAlignment="1">
      <alignment horizontal="right" vertical="center" wrapText="1"/>
    </xf>
    <xf numFmtId="1" fontId="1" fillId="0" borderId="5" xfId="1" applyNumberFormat="1" applyFont="1" applyFill="1" applyBorder="1" applyAlignment="1">
      <alignment vertical="center" wrapText="1"/>
    </xf>
    <xf numFmtId="0" fontId="5" fillId="0" borderId="9" xfId="0" applyFont="1" applyBorder="1"/>
    <xf numFmtId="3" fontId="0" fillId="0" borderId="9" xfId="0" applyNumberFormat="1" applyBorder="1"/>
    <xf numFmtId="0" fontId="8" fillId="0" borderId="0" xfId="0" applyFont="1" applyBorder="1" applyAlignment="1">
      <alignment horizontal="center" vertical="center" wrapText="1"/>
    </xf>
    <xf numFmtId="0" fontId="24" fillId="0" borderId="0" xfId="0" applyFont="1" applyBorder="1" applyAlignment="1">
      <alignment horizontal="right" wrapText="1"/>
    </xf>
    <xf numFmtId="0" fontId="8" fillId="4" borderId="2" xfId="0" applyFont="1" applyFill="1" applyBorder="1" applyAlignment="1">
      <alignment horizontal="center" vertical="center" wrapText="1"/>
    </xf>
    <xf numFmtId="171" fontId="1" fillId="2" borderId="1" xfId="0" applyNumberFormat="1" applyFont="1" applyFill="1" applyBorder="1" applyAlignment="1">
      <alignment vertical="center" wrapText="1"/>
    </xf>
    <xf numFmtId="171" fontId="1" fillId="2" borderId="7" xfId="0" applyNumberFormat="1" applyFont="1" applyFill="1" applyBorder="1" applyAlignment="1">
      <alignment vertical="center" wrapText="1"/>
    </xf>
    <xf numFmtId="171" fontId="1" fillId="5" borderId="11" xfId="1" applyNumberFormat="1" applyFont="1" applyFill="1" applyBorder="1" applyAlignment="1">
      <alignment vertical="center" wrapText="1"/>
    </xf>
    <xf numFmtId="0" fontId="29" fillId="0" borderId="0" xfId="0" applyFont="1" applyFill="1" applyBorder="1" applyAlignment="1">
      <alignment horizontal="right" vertical="center" wrapText="1" readingOrder="2"/>
    </xf>
    <xf numFmtId="0" fontId="24" fillId="0" borderId="0" xfId="0" applyFont="1" applyBorder="1" applyAlignment="1">
      <alignment horizontal="center" vertical="center" wrapText="1"/>
    </xf>
    <xf numFmtId="0" fontId="3" fillId="0" borderId="0" xfId="0" applyFont="1" applyBorder="1" applyAlignment="1">
      <alignment horizontal="right" vertical="center" wrapText="1"/>
    </xf>
    <xf numFmtId="0" fontId="2" fillId="5" borderId="11" xfId="0" applyFont="1" applyFill="1" applyBorder="1" applyAlignment="1">
      <alignment horizontal="right" vertical="center" wrapText="1"/>
    </xf>
    <xf numFmtId="0" fontId="29" fillId="0" borderId="0" xfId="0" applyFont="1" applyFill="1" applyBorder="1" applyAlignment="1">
      <alignment horizontal="right" vertical="center" wrapText="1" readingOrder="2"/>
    </xf>
    <xf numFmtId="167" fontId="3" fillId="5" borderId="9" xfId="1" applyNumberFormat="1" applyFont="1" applyFill="1" applyBorder="1" applyAlignment="1">
      <alignment horizontal="right" vertical="center" wrapText="1"/>
    </xf>
    <xf numFmtId="168" fontId="1" fillId="10" borderId="6" xfId="1" applyNumberFormat="1" applyFont="1" applyFill="1" applyBorder="1" applyAlignment="1">
      <alignment horizontal="left" vertical="center" wrapText="1"/>
    </xf>
    <xf numFmtId="0" fontId="2" fillId="5" borderId="10" xfId="0" applyFont="1" applyFill="1" applyBorder="1" applyAlignment="1">
      <alignment horizontal="right" vertical="center" wrapText="1"/>
    </xf>
    <xf numFmtId="0" fontId="19" fillId="4" borderId="2" xfId="0" applyFont="1" applyFill="1" applyBorder="1" applyAlignment="1">
      <alignment vertical="center" wrapText="1"/>
    </xf>
    <xf numFmtId="168" fontId="1" fillId="0" borderId="5" xfId="0" applyNumberFormat="1" applyFont="1" applyFill="1" applyBorder="1" applyAlignment="1">
      <alignment horizontal="left" vertical="center" wrapText="1"/>
    </xf>
    <xf numFmtId="0" fontId="3" fillId="0" borderId="8" xfId="0" applyFont="1" applyBorder="1" applyAlignment="1">
      <alignment horizontal="right" vertical="center" wrapText="1"/>
    </xf>
    <xf numFmtId="0" fontId="3" fillId="0" borderId="0" xfId="0" applyFont="1" applyBorder="1" applyAlignment="1">
      <alignment horizontal="right" vertical="center" wrapText="1"/>
    </xf>
    <xf numFmtId="0" fontId="8" fillId="0" borderId="0" xfId="0" applyFont="1" applyBorder="1" applyAlignment="1">
      <alignment horizontal="center" vertical="center" wrapText="1"/>
    </xf>
    <xf numFmtId="0" fontId="4" fillId="2" borderId="6" xfId="0" applyFont="1" applyFill="1" applyBorder="1" applyAlignment="1">
      <alignment horizontal="right" vertical="center" wrapText="1"/>
    </xf>
    <xf numFmtId="169" fontId="1" fillId="0" borderId="5" xfId="1" applyNumberFormat="1" applyFont="1" applyFill="1" applyBorder="1" applyAlignment="1">
      <alignment horizontal="left" vertical="center" wrapText="1"/>
    </xf>
    <xf numFmtId="168" fontId="16" fillId="0" borderId="0" xfId="1" applyNumberFormat="1" applyFont="1" applyFill="1" applyBorder="1" applyAlignment="1">
      <alignment vertical="center" wrapText="1"/>
    </xf>
    <xf numFmtId="167" fontId="23" fillId="5" borderId="0" xfId="1" applyNumberFormat="1" applyFont="1" applyFill="1" applyBorder="1" applyAlignment="1">
      <alignment horizontal="right" vertical="center" wrapText="1"/>
    </xf>
    <xf numFmtId="169" fontId="16" fillId="0" borderId="0" xfId="1" applyNumberFormat="1" applyFont="1" applyFill="1" applyBorder="1" applyAlignment="1">
      <alignment vertical="center" wrapText="1"/>
    </xf>
    <xf numFmtId="168" fontId="1" fillId="2" borderId="0" xfId="0" applyNumberFormat="1" applyFont="1" applyFill="1" applyBorder="1" applyAlignment="1">
      <alignment horizontal="right" vertical="center" wrapText="1"/>
    </xf>
    <xf numFmtId="0" fontId="4" fillId="0" borderId="0" xfId="0" applyFont="1" applyFill="1" applyAlignment="1">
      <alignment horizontal="center" vertical="center" wrapText="1" readingOrder="2"/>
    </xf>
    <xf numFmtId="0" fontId="19" fillId="4" borderId="9" xfId="0" applyFont="1" applyFill="1" applyBorder="1" applyAlignment="1">
      <alignment horizontal="right" vertical="center" wrapText="1"/>
    </xf>
    <xf numFmtId="0" fontId="19" fillId="4" borderId="2" xfId="0" applyFont="1" applyFill="1" applyBorder="1" applyAlignment="1">
      <alignment horizontal="center" vertical="center" wrapText="1"/>
    </xf>
    <xf numFmtId="0" fontId="19" fillId="4" borderId="9" xfId="0" applyFont="1" applyFill="1" applyBorder="1" applyAlignment="1">
      <alignment horizontal="center" vertical="center" wrapText="1"/>
    </xf>
    <xf numFmtId="0" fontId="3" fillId="0" borderId="0" xfId="0" applyFont="1" applyBorder="1" applyAlignment="1">
      <alignment horizontal="right" vertical="center" wrapText="1"/>
    </xf>
    <xf numFmtId="166" fontId="19" fillId="4" borderId="2" xfId="0" applyNumberFormat="1" applyFont="1" applyFill="1" applyBorder="1" applyAlignment="1">
      <alignment horizontal="right" vertical="center" wrapText="1"/>
    </xf>
    <xf numFmtId="0" fontId="4" fillId="0" borderId="0" xfId="0" applyFont="1" applyFill="1" applyBorder="1" applyAlignment="1">
      <alignment horizontal="center" vertical="center" wrapText="1"/>
    </xf>
    <xf numFmtId="0" fontId="19" fillId="4" borderId="0" xfId="0" applyFont="1" applyFill="1" applyBorder="1" applyAlignment="1">
      <alignment horizontal="right" vertical="center" wrapText="1"/>
    </xf>
    <xf numFmtId="0" fontId="3" fillId="0" borderId="0" xfId="0" applyFont="1" applyFill="1" applyBorder="1" applyAlignment="1">
      <alignment horizontal="right" vertical="center" wrapText="1" readingOrder="2"/>
    </xf>
    <xf numFmtId="0" fontId="3" fillId="0" borderId="0" xfId="0" applyFont="1" applyBorder="1" applyAlignment="1">
      <alignment vertical="center" wrapText="1"/>
    </xf>
    <xf numFmtId="165" fontId="2" fillId="2" borderId="7" xfId="0" applyNumberFormat="1" applyFont="1" applyFill="1" applyBorder="1" applyAlignment="1">
      <alignment horizontal="right" vertical="center" wrapText="1"/>
    </xf>
    <xf numFmtId="165" fontId="2" fillId="2" borderId="1" xfId="0" applyNumberFormat="1" applyFont="1" applyFill="1" applyBorder="1" applyAlignment="1">
      <alignment horizontal="right" vertical="center" wrapText="1"/>
    </xf>
    <xf numFmtId="165" fontId="2" fillId="2" borderId="5" xfId="0" applyNumberFormat="1" applyFont="1" applyFill="1" applyBorder="1" applyAlignment="1">
      <alignment horizontal="right" vertical="center" wrapText="1"/>
    </xf>
    <xf numFmtId="167" fontId="1" fillId="2" borderId="4" xfId="1" applyNumberFormat="1" applyFont="1" applyFill="1" applyBorder="1" applyAlignment="1">
      <alignment horizontal="right" vertical="center" wrapText="1"/>
    </xf>
    <xf numFmtId="167" fontId="1" fillId="0" borderId="1" xfId="1" applyNumberFormat="1" applyFont="1" applyFill="1" applyBorder="1" applyAlignment="1">
      <alignment horizontal="right" vertical="center" wrapText="1"/>
    </xf>
    <xf numFmtId="165" fontId="2" fillId="2" borderId="8" xfId="0" applyNumberFormat="1" applyFont="1" applyFill="1" applyBorder="1" applyAlignment="1">
      <alignment horizontal="right" vertical="center" wrapText="1"/>
    </xf>
    <xf numFmtId="0" fontId="4" fillId="0" borderId="0" xfId="0" applyFont="1" applyBorder="1" applyAlignment="1">
      <alignment horizontal="right" vertical="center" wrapText="1"/>
    </xf>
    <xf numFmtId="167" fontId="1" fillId="2" borderId="1" xfId="1" applyNumberFormat="1" applyFont="1" applyFill="1" applyBorder="1" applyAlignment="1">
      <alignment horizontal="right" vertical="center" wrapText="1"/>
    </xf>
    <xf numFmtId="167" fontId="1" fillId="0" borderId="7" xfId="1" applyNumberFormat="1" applyFont="1" applyFill="1" applyBorder="1" applyAlignment="1">
      <alignment horizontal="right" vertical="center" wrapText="1"/>
    </xf>
    <xf numFmtId="0" fontId="19" fillId="4" borderId="2" xfId="0" applyFont="1" applyFill="1" applyBorder="1" applyAlignment="1">
      <alignment vertical="center" wrapText="1"/>
    </xf>
    <xf numFmtId="168" fontId="1" fillId="5" borderId="0" xfId="1" applyNumberFormat="1" applyFont="1" applyFill="1" applyBorder="1" applyAlignment="1">
      <alignment vertical="center" wrapText="1"/>
    </xf>
    <xf numFmtId="0" fontId="0" fillId="0" borderId="0" xfId="0" applyAlignment="1">
      <alignment vertical="center"/>
    </xf>
    <xf numFmtId="164" fontId="0" fillId="3" borderId="0" xfId="0" applyNumberFormat="1" applyFill="1" applyAlignment="1">
      <alignment vertical="center"/>
    </xf>
    <xf numFmtId="164" fontId="0" fillId="0" borderId="0" xfId="0" applyNumberFormat="1" applyAlignment="1">
      <alignment vertical="center"/>
    </xf>
    <xf numFmtId="0" fontId="11" fillId="0" borderId="0" xfId="0" applyFont="1" applyAlignment="1">
      <alignment vertical="center"/>
    </xf>
    <xf numFmtId="0" fontId="0" fillId="0" borderId="0" xfId="0" applyBorder="1" applyAlignment="1">
      <alignment vertical="center"/>
    </xf>
    <xf numFmtId="169" fontId="23" fillId="5" borderId="0" xfId="1" applyNumberFormat="1" applyFont="1" applyFill="1" applyBorder="1" applyAlignment="1">
      <alignment horizontal="right" vertical="center" wrapText="1"/>
    </xf>
    <xf numFmtId="164" fontId="0" fillId="0" borderId="0" xfId="0" applyNumberFormat="1" applyBorder="1"/>
    <xf numFmtId="0" fontId="3" fillId="0" borderId="0" xfId="0" applyFont="1" applyBorder="1" applyAlignment="1">
      <alignment horizontal="right" vertical="center" wrapText="1"/>
    </xf>
    <xf numFmtId="0" fontId="3" fillId="0" borderId="0" xfId="0" applyFont="1" applyBorder="1" applyAlignment="1">
      <alignment horizontal="right" vertical="center" readingOrder="2"/>
    </xf>
    <xf numFmtId="0" fontId="30" fillId="4" borderId="0" xfId="0" applyFont="1" applyFill="1" applyBorder="1" applyAlignment="1">
      <alignment horizontal="center" vertical="center" wrapText="1"/>
    </xf>
    <xf numFmtId="167" fontId="3" fillId="5" borderId="0" xfId="1" applyNumberFormat="1" applyFont="1" applyFill="1" applyBorder="1" applyAlignment="1">
      <alignment horizontal="right" vertical="center" wrapText="1"/>
    </xf>
    <xf numFmtId="3" fontId="1" fillId="5" borderId="0" xfId="1" applyNumberFormat="1" applyFont="1" applyFill="1" applyBorder="1" applyAlignment="1">
      <alignment vertical="center" wrapText="1"/>
    </xf>
    <xf numFmtId="3" fontId="0" fillId="0" borderId="0" xfId="0" applyNumberFormat="1" applyBorder="1"/>
    <xf numFmtId="0" fontId="19" fillId="4" borderId="0" xfId="0" applyFont="1" applyFill="1" applyBorder="1" applyAlignment="1">
      <alignment horizontal="center" vertical="center" wrapText="1"/>
    </xf>
    <xf numFmtId="0" fontId="15" fillId="0" borderId="5" xfId="0" applyFont="1" applyBorder="1" applyAlignment="1">
      <alignment vertical="center" wrapText="1" readingOrder="2"/>
    </xf>
    <xf numFmtId="167" fontId="3" fillId="5" borderId="7" xfId="1" applyNumberFormat="1" applyFont="1" applyFill="1" applyBorder="1" applyAlignment="1">
      <alignment horizontal="right" vertical="center" wrapText="1"/>
    </xf>
    <xf numFmtId="167" fontId="3" fillId="4" borderId="0" xfId="1" applyNumberFormat="1" applyFont="1" applyFill="1" applyBorder="1" applyAlignment="1">
      <alignment horizontal="right" vertical="center" wrapText="1"/>
    </xf>
    <xf numFmtId="0" fontId="16" fillId="0" borderId="5" xfId="0" applyFont="1" applyBorder="1" applyAlignment="1">
      <alignment horizontal="right" vertical="center"/>
    </xf>
    <xf numFmtId="0" fontId="0" fillId="0" borderId="6" xfId="0" applyBorder="1" applyAlignment="1"/>
    <xf numFmtId="0" fontId="3" fillId="0" borderId="0" xfId="0" applyFont="1" applyBorder="1" applyAlignment="1">
      <alignment vertical="center" wrapText="1" readingOrder="1"/>
    </xf>
    <xf numFmtId="0" fontId="3" fillId="5" borderId="7" xfId="0" applyFont="1" applyFill="1" applyBorder="1" applyAlignment="1">
      <alignment vertical="center" wrapText="1"/>
    </xf>
    <xf numFmtId="0" fontId="3" fillId="0" borderId="0" xfId="0" applyFont="1" applyBorder="1" applyAlignment="1">
      <alignment vertical="center" wrapText="1" readingOrder="2"/>
    </xf>
    <xf numFmtId="0" fontId="3" fillId="4" borderId="0" xfId="0" applyFont="1" applyFill="1" applyBorder="1" applyAlignment="1">
      <alignment vertical="center" wrapText="1"/>
    </xf>
    <xf numFmtId="0" fontId="8" fillId="4" borderId="0" xfId="0" applyFont="1" applyFill="1" applyBorder="1" applyAlignment="1">
      <alignment horizontal="center" vertical="center" wrapText="1"/>
    </xf>
    <xf numFmtId="0" fontId="2" fillId="9" borderId="0" xfId="0" applyFont="1" applyFill="1" applyBorder="1" applyAlignment="1">
      <alignment horizontal="right" vertical="center" wrapText="1"/>
    </xf>
    <xf numFmtId="171" fontId="1" fillId="2" borderId="5" xfId="0" applyNumberFormat="1" applyFont="1" applyFill="1" applyBorder="1" applyAlignment="1">
      <alignment vertical="center" wrapText="1"/>
    </xf>
    <xf numFmtId="0" fontId="2" fillId="9" borderId="7" xfId="0" applyFont="1" applyFill="1" applyBorder="1" applyAlignment="1">
      <alignment horizontal="right" vertical="center" wrapText="1"/>
    </xf>
    <xf numFmtId="167" fontId="29" fillId="5" borderId="0" xfId="1" applyNumberFormat="1" applyFont="1" applyFill="1" applyBorder="1" applyAlignment="1">
      <alignment horizontal="right" vertical="center" wrapText="1"/>
    </xf>
    <xf numFmtId="0" fontId="0" fillId="2" borderId="0" xfId="0" applyFill="1" applyAlignment="1"/>
    <xf numFmtId="164" fontId="0" fillId="0" borderId="0" xfId="0" applyNumberFormat="1" applyBorder="1" applyAlignment="1">
      <alignment horizontal="right"/>
    </xf>
    <xf numFmtId="0" fontId="3" fillId="0" borderId="0" xfId="0" applyFont="1" applyBorder="1" applyAlignment="1">
      <alignment horizontal="right" vertical="center" wrapText="1"/>
    </xf>
    <xf numFmtId="164" fontId="1" fillId="0" borderId="0" xfId="0" applyNumberFormat="1" applyFont="1" applyFill="1" applyAlignment="1">
      <alignment vertical="center"/>
    </xf>
    <xf numFmtId="164" fontId="1" fillId="0" borderId="1" xfId="0" applyNumberFormat="1" applyFont="1" applyFill="1" applyBorder="1" applyAlignment="1">
      <alignment vertical="center"/>
    </xf>
    <xf numFmtId="168" fontId="1" fillId="0" borderId="4" xfId="0" applyNumberFormat="1" applyFont="1" applyFill="1" applyBorder="1" applyAlignment="1">
      <alignment vertical="center" wrapText="1"/>
    </xf>
    <xf numFmtId="168" fontId="1" fillId="0" borderId="4" xfId="0" applyNumberFormat="1" applyFont="1" applyFill="1" applyBorder="1" applyAlignment="1">
      <alignment horizontal="left" vertical="center" wrapText="1"/>
    </xf>
    <xf numFmtId="0" fontId="1" fillId="0" borderId="4" xfId="0" applyFont="1" applyFill="1" applyBorder="1" applyAlignment="1"/>
    <xf numFmtId="164" fontId="1" fillId="0" borderId="4" xfId="0" applyNumberFormat="1" applyFont="1" applyFill="1" applyBorder="1" applyAlignment="1">
      <alignment vertical="center"/>
    </xf>
    <xf numFmtId="0" fontId="1" fillId="0" borderId="4" xfId="0" applyFont="1" applyFill="1" applyBorder="1" applyAlignment="1">
      <alignment vertical="center"/>
    </xf>
    <xf numFmtId="0" fontId="31" fillId="0" borderId="0" xfId="0" applyFont="1"/>
    <xf numFmtId="0" fontId="13" fillId="0" borderId="8" xfId="0" applyFont="1" applyBorder="1" applyAlignment="1">
      <alignment horizontal="center" vertical="center" wrapText="1"/>
    </xf>
    <xf numFmtId="0" fontId="1" fillId="0" borderId="4" xfId="0" applyFont="1" applyBorder="1" applyAlignment="1">
      <alignment vertical="center" wrapText="1" readingOrder="1"/>
    </xf>
    <xf numFmtId="0" fontId="1" fillId="0" borderId="7" xfId="0" applyFont="1" applyBorder="1" applyAlignment="1">
      <alignment vertical="center" wrapText="1" readingOrder="1"/>
    </xf>
    <xf numFmtId="0" fontId="1" fillId="0" borderId="1" xfId="0" applyFont="1" applyBorder="1" applyAlignment="1">
      <alignment vertical="center" wrapText="1" readingOrder="1"/>
    </xf>
    <xf numFmtId="0" fontId="1" fillId="0" borderId="5" xfId="0" applyFont="1" applyBorder="1" applyAlignment="1">
      <alignment vertical="center" wrapText="1" readingOrder="1"/>
    </xf>
    <xf numFmtId="0" fontId="1" fillId="0" borderId="0" xfId="0" applyFont="1" applyBorder="1" applyAlignment="1">
      <alignment vertical="center" wrapText="1" readingOrder="1"/>
    </xf>
    <xf numFmtId="167" fontId="1" fillId="0" borderId="11" xfId="1" applyNumberFormat="1" applyFont="1" applyFill="1" applyBorder="1" applyAlignment="1">
      <alignment horizontal="left" vertical="center" wrapText="1" readingOrder="1"/>
    </xf>
    <xf numFmtId="0" fontId="1" fillId="5" borderId="10" xfId="0" applyFont="1" applyFill="1" applyBorder="1" applyAlignment="1">
      <alignment horizontal="left" vertical="center" wrapText="1" readingOrder="1"/>
    </xf>
    <xf numFmtId="0" fontId="1" fillId="5" borderId="6" xfId="0" applyFont="1" applyFill="1" applyBorder="1" applyAlignment="1">
      <alignment vertical="center" wrapText="1" readingOrder="1"/>
    </xf>
    <xf numFmtId="0" fontId="8" fillId="0" borderId="6" xfId="0" applyFont="1" applyFill="1" applyBorder="1" applyAlignment="1">
      <alignment horizontal="left" vertical="center" wrapText="1"/>
    </xf>
    <xf numFmtId="0" fontId="32" fillId="4" borderId="9" xfId="0" applyFont="1" applyFill="1" applyBorder="1" applyAlignment="1">
      <alignment horizontal="center" vertical="center" wrapText="1" readingOrder="1"/>
    </xf>
    <xf numFmtId="166" fontId="32" fillId="4" borderId="9" xfId="0" applyNumberFormat="1" applyFont="1" applyFill="1" applyBorder="1" applyAlignment="1">
      <alignment horizontal="left" vertical="center" wrapText="1" readingOrder="1"/>
    </xf>
    <xf numFmtId="0" fontId="1" fillId="0" borderId="5" xfId="0" applyFont="1" applyFill="1" applyBorder="1" applyAlignment="1">
      <alignment horizontal="left" vertical="center" wrapText="1"/>
    </xf>
    <xf numFmtId="0" fontId="1" fillId="0" borderId="1" xfId="0" applyFont="1" applyFill="1" applyBorder="1" applyAlignment="1">
      <alignment horizontal="left" vertical="center" wrapText="1"/>
    </xf>
    <xf numFmtId="168" fontId="1" fillId="2" borderId="11" xfId="0" applyNumberFormat="1" applyFont="1" applyFill="1" applyBorder="1" applyAlignment="1">
      <alignment horizontal="left" vertical="center" wrapText="1" readingOrder="1"/>
    </xf>
    <xf numFmtId="0" fontId="1" fillId="0" borderId="3" xfId="0" applyFont="1" applyBorder="1" applyAlignment="1">
      <alignment vertical="center" wrapText="1" readingOrder="1"/>
    </xf>
    <xf numFmtId="0" fontId="1" fillId="0" borderId="11" xfId="0" applyFont="1" applyBorder="1" applyAlignment="1">
      <alignment horizontal="left" vertical="center" wrapText="1" readingOrder="1"/>
    </xf>
    <xf numFmtId="0" fontId="1" fillId="5" borderId="6" xfId="0" applyFont="1" applyFill="1" applyBorder="1" applyAlignment="1">
      <alignment horizontal="left" vertical="center" wrapText="1" readingOrder="1"/>
    </xf>
    <xf numFmtId="0" fontId="19" fillId="4" borderId="2" xfId="0" applyFont="1" applyFill="1" applyBorder="1" applyAlignment="1">
      <alignment horizontal="center" vertical="center" wrapText="1"/>
    </xf>
    <xf numFmtId="0" fontId="19" fillId="4" borderId="0" xfId="0" applyFont="1" applyFill="1" applyBorder="1" applyAlignment="1">
      <alignment horizontal="center" vertical="center" wrapText="1"/>
    </xf>
    <xf numFmtId="0" fontId="3" fillId="0" borderId="0" xfId="0" applyFont="1" applyFill="1" applyBorder="1" applyAlignment="1">
      <alignment horizontal="right" vertical="center" wrapText="1" readingOrder="2"/>
    </xf>
    <xf numFmtId="165" fontId="16" fillId="0" borderId="4" xfId="0" applyNumberFormat="1" applyFont="1" applyBorder="1" applyAlignment="1">
      <alignment horizontal="left" vertical="center" wrapText="1" readingOrder="1"/>
    </xf>
    <xf numFmtId="165" fontId="16" fillId="0" borderId="7" xfId="0" applyNumberFormat="1" applyFont="1" applyBorder="1" applyAlignment="1">
      <alignment horizontal="left" vertical="center" wrapText="1" readingOrder="1"/>
    </xf>
    <xf numFmtId="165" fontId="1" fillId="0" borderId="7" xfId="0" applyNumberFormat="1" applyFont="1" applyBorder="1" applyAlignment="1">
      <alignment horizontal="left" vertical="center" wrapText="1" readingOrder="1"/>
    </xf>
    <xf numFmtId="165" fontId="1" fillId="0" borderId="3" xfId="0" applyNumberFormat="1" applyFont="1" applyBorder="1" applyAlignment="1">
      <alignment horizontal="left" vertical="center" wrapText="1" readingOrder="1"/>
    </xf>
    <xf numFmtId="165" fontId="16" fillId="0" borderId="1" xfId="0" applyNumberFormat="1" applyFont="1" applyBorder="1" applyAlignment="1">
      <alignment horizontal="left" vertical="center" wrapText="1" readingOrder="1"/>
    </xf>
    <xf numFmtId="0" fontId="8" fillId="0" borderId="0" xfId="0" applyFont="1"/>
    <xf numFmtId="0" fontId="1" fillId="0" borderId="5" xfId="0" applyFont="1" applyFill="1" applyBorder="1" applyAlignment="1">
      <alignment horizontal="left" vertical="center" wrapText="1" readingOrder="1"/>
    </xf>
    <xf numFmtId="0" fontId="1" fillId="0" borderId="1" xfId="0" applyFont="1" applyFill="1" applyBorder="1" applyAlignment="1">
      <alignment horizontal="left" vertical="center" wrapText="1" readingOrder="1"/>
    </xf>
    <xf numFmtId="168" fontId="1" fillId="5" borderId="11" xfId="0" applyNumberFormat="1" applyFont="1" applyFill="1" applyBorder="1" applyAlignment="1">
      <alignment horizontal="left" vertical="center" wrapText="1" readingOrder="1"/>
    </xf>
    <xf numFmtId="0" fontId="1" fillId="9" borderId="9" xfId="0" applyFont="1" applyFill="1" applyBorder="1" applyAlignment="1">
      <alignment horizontal="left" vertical="center" wrapText="1" readingOrder="1"/>
    </xf>
    <xf numFmtId="167" fontId="35" fillId="5" borderId="9" xfId="1" applyNumberFormat="1" applyFont="1" applyFill="1" applyBorder="1" applyAlignment="1">
      <alignment horizontal="left" vertical="center" wrapText="1" readingOrder="1"/>
    </xf>
    <xf numFmtId="167" fontId="35" fillId="5" borderId="9" xfId="1" applyNumberFormat="1" applyFont="1" applyFill="1" applyBorder="1" applyAlignment="1">
      <alignment horizontal="left" vertical="center" wrapText="1"/>
    </xf>
    <xf numFmtId="0" fontId="8" fillId="0" borderId="0" xfId="0" applyFont="1" applyBorder="1" applyAlignment="1">
      <alignment horizontal="left" vertical="center" wrapText="1" readingOrder="1"/>
    </xf>
    <xf numFmtId="0" fontId="13" fillId="0" borderId="0" xfId="0" applyFont="1" applyFill="1" applyBorder="1" applyAlignment="1">
      <alignment horizontal="right" vertical="center" wrapText="1" readingOrder="1"/>
    </xf>
    <xf numFmtId="0" fontId="33" fillId="0" borderId="0" xfId="0" applyFont="1" applyAlignment="1">
      <alignment readingOrder="1"/>
    </xf>
    <xf numFmtId="0" fontId="13" fillId="0" borderId="0" xfId="0" applyFont="1" applyFill="1" applyBorder="1" applyAlignment="1">
      <alignment vertical="center" wrapText="1" readingOrder="1"/>
    </xf>
    <xf numFmtId="0" fontId="8" fillId="0" borderId="0" xfId="0" applyFont="1" applyAlignment="1">
      <alignment horizontal="left" vertical="center"/>
    </xf>
    <xf numFmtId="167" fontId="13" fillId="5" borderId="9" xfId="1" applyNumberFormat="1" applyFont="1" applyFill="1" applyBorder="1" applyAlignment="1">
      <alignment horizontal="left" vertical="center" wrapText="1" readingOrder="1"/>
    </xf>
    <xf numFmtId="167" fontId="1" fillId="5" borderId="9" xfId="1" applyNumberFormat="1" applyFont="1" applyFill="1" applyBorder="1" applyAlignment="1">
      <alignment horizontal="left" vertical="center" wrapText="1" readingOrder="1"/>
    </xf>
    <xf numFmtId="167" fontId="13" fillId="5" borderId="9" xfId="1" applyNumberFormat="1" applyFont="1" applyFill="1" applyBorder="1" applyAlignment="1">
      <alignment horizontal="left" vertical="center" wrapText="1"/>
    </xf>
    <xf numFmtId="0" fontId="13" fillId="0" borderId="8" xfId="0" applyFont="1" applyBorder="1" applyAlignment="1">
      <alignment horizontal="center" vertical="center" wrapText="1" readingOrder="1"/>
    </xf>
    <xf numFmtId="0" fontId="19" fillId="4" borderId="0" xfId="0" applyFont="1" applyFill="1" applyBorder="1" applyAlignment="1">
      <alignment horizontal="right" vertical="center" wrapText="1"/>
    </xf>
    <xf numFmtId="0" fontId="29" fillId="0" borderId="0" xfId="0" applyFont="1" applyFill="1" applyBorder="1" applyAlignment="1">
      <alignment horizontal="right" vertical="center" wrapText="1" readingOrder="2"/>
    </xf>
    <xf numFmtId="0" fontId="13" fillId="0" borderId="0" xfId="0" applyFont="1" applyBorder="1" applyAlignment="1">
      <alignment horizontal="left" vertical="center" wrapText="1" readingOrder="1"/>
    </xf>
    <xf numFmtId="0" fontId="32" fillId="4" borderId="0" xfId="0" applyFont="1" applyFill="1" applyBorder="1" applyAlignment="1">
      <alignment horizontal="center" vertical="center" wrapText="1" readingOrder="1"/>
    </xf>
    <xf numFmtId="0" fontId="2" fillId="5" borderId="10" xfId="0" applyFont="1" applyFill="1" applyBorder="1" applyAlignment="1">
      <alignment horizontal="right" vertical="center" wrapText="1"/>
    </xf>
    <xf numFmtId="166" fontId="19" fillId="4" borderId="2" xfId="0" applyNumberFormat="1" applyFont="1" applyFill="1" applyBorder="1" applyAlignment="1">
      <alignment horizontal="right" vertical="center" wrapText="1"/>
    </xf>
    <xf numFmtId="0" fontId="4" fillId="0" borderId="0" xfId="0" applyFont="1" applyFill="1" applyBorder="1" applyAlignment="1">
      <alignment horizontal="center" vertical="center" wrapText="1"/>
    </xf>
    <xf numFmtId="0" fontId="8" fillId="0" borderId="0" xfId="0" applyFont="1" applyFill="1" applyBorder="1" applyAlignment="1">
      <alignment horizontal="center" vertical="center" wrapText="1" readingOrder="1"/>
    </xf>
    <xf numFmtId="0" fontId="13" fillId="0" borderId="0" xfId="0" applyFont="1" applyAlignment="1">
      <alignment vertical="center" wrapText="1" readingOrder="1"/>
    </xf>
    <xf numFmtId="167" fontId="1" fillId="5" borderId="12" xfId="1" applyNumberFormat="1" applyFont="1" applyFill="1" applyBorder="1" applyAlignment="1">
      <alignment horizontal="center" vertical="center" wrapText="1"/>
    </xf>
    <xf numFmtId="0" fontId="35" fillId="0" borderId="0" xfId="0" applyFont="1" applyFill="1" applyBorder="1" applyAlignment="1">
      <alignment horizontal="left" vertical="center" wrapText="1" readingOrder="1"/>
    </xf>
    <xf numFmtId="0" fontId="35" fillId="0" borderId="0" xfId="0" applyFont="1" applyFill="1" applyBorder="1" applyAlignment="1">
      <alignment horizontal="right" vertical="center" wrapText="1" readingOrder="1"/>
    </xf>
    <xf numFmtId="0" fontId="36" fillId="0" borderId="0" xfId="0" applyFont="1" applyAlignment="1">
      <alignment readingOrder="1"/>
    </xf>
    <xf numFmtId="0" fontId="29" fillId="0" borderId="0" xfId="0" applyFont="1" applyBorder="1" applyAlignment="1">
      <alignment vertical="center" wrapText="1"/>
    </xf>
    <xf numFmtId="0" fontId="35" fillId="0" borderId="0" xfId="0" applyFont="1" applyBorder="1" applyAlignment="1">
      <alignment horizontal="left" vertical="center" wrapText="1" readingOrder="1"/>
    </xf>
    <xf numFmtId="0" fontId="8" fillId="0" borderId="0" xfId="0" applyFont="1" applyBorder="1" applyAlignment="1">
      <alignment horizontal="left" vertical="center"/>
    </xf>
    <xf numFmtId="0" fontId="1" fillId="0" borderId="0" xfId="0" applyFont="1" applyFill="1" applyBorder="1" applyAlignment="1">
      <alignment horizontal="left" vertical="center" wrapText="1" readingOrder="1"/>
    </xf>
    <xf numFmtId="168" fontId="1" fillId="5" borderId="0" xfId="0" applyNumberFormat="1" applyFont="1" applyFill="1" applyBorder="1" applyAlignment="1">
      <alignment horizontal="left" vertical="center" wrapText="1" readingOrder="1"/>
    </xf>
    <xf numFmtId="167" fontId="1" fillId="0" borderId="8" xfId="1" applyNumberFormat="1" applyFont="1" applyFill="1" applyBorder="1" applyAlignment="1">
      <alignment horizontal="left" vertical="center" wrapText="1" readingOrder="1"/>
    </xf>
    <xf numFmtId="168" fontId="1" fillId="5" borderId="10" xfId="1" applyNumberFormat="1" applyFont="1" applyFill="1" applyBorder="1" applyAlignment="1">
      <alignment vertical="center" wrapText="1"/>
    </xf>
    <xf numFmtId="0" fontId="1" fillId="5" borderId="10" xfId="0" applyFont="1" applyFill="1" applyBorder="1" applyAlignment="1">
      <alignment vertical="center" wrapText="1" readingOrder="1"/>
    </xf>
    <xf numFmtId="167" fontId="13" fillId="5" borderId="9" xfId="1" applyNumberFormat="1" applyFont="1" applyFill="1" applyBorder="1" applyAlignment="1">
      <alignment horizontal="center" vertical="center" wrapText="1"/>
    </xf>
    <xf numFmtId="167" fontId="13" fillId="5" borderId="9" xfId="1" applyNumberFormat="1" applyFont="1" applyFill="1" applyBorder="1" applyAlignment="1">
      <alignment horizontal="right" vertical="center" wrapText="1" readingOrder="1"/>
    </xf>
    <xf numFmtId="167" fontId="1" fillId="5" borderId="9" xfId="1" applyNumberFormat="1" applyFont="1" applyFill="1" applyBorder="1" applyAlignment="1">
      <alignment horizontal="right" vertical="center" wrapText="1" readingOrder="1"/>
    </xf>
    <xf numFmtId="167" fontId="1" fillId="5" borderId="9" xfId="1" applyNumberFormat="1" applyFont="1" applyFill="1" applyBorder="1" applyAlignment="1">
      <alignment vertical="center" wrapText="1" readingOrder="1"/>
    </xf>
    <xf numFmtId="3" fontId="13" fillId="0" borderId="0" xfId="0" applyNumberFormat="1" applyFont="1" applyAlignment="1">
      <alignment vertical="center" wrapText="1" readingOrder="1"/>
    </xf>
    <xf numFmtId="167" fontId="3" fillId="5" borderId="7" xfId="1" applyNumberFormat="1" applyFont="1" applyFill="1" applyBorder="1" applyAlignment="1">
      <alignment horizontal="center" vertical="center" wrapText="1"/>
    </xf>
    <xf numFmtId="167" fontId="1" fillId="5" borderId="9" xfId="1" applyNumberFormat="1" applyFont="1" applyFill="1" applyBorder="1" applyAlignment="1">
      <alignment horizontal="center" vertical="center" wrapText="1" readingOrder="1"/>
    </xf>
    <xf numFmtId="167" fontId="13" fillId="5" borderId="9" xfId="1" applyNumberFormat="1" applyFont="1" applyFill="1" applyBorder="1" applyAlignment="1">
      <alignment horizontal="right" vertical="center" wrapText="1"/>
    </xf>
    <xf numFmtId="0" fontId="32" fillId="4" borderId="9" xfId="0" applyFont="1" applyFill="1" applyBorder="1" applyAlignment="1">
      <alignment horizontal="right" vertical="center" wrapText="1" readingOrder="1"/>
    </xf>
    <xf numFmtId="166" fontId="32" fillId="4" borderId="9" xfId="0" applyNumberFormat="1" applyFont="1" applyFill="1" applyBorder="1" applyAlignment="1">
      <alignment horizontal="right" vertical="center" wrapText="1" readingOrder="1"/>
    </xf>
    <xf numFmtId="0" fontId="13" fillId="5" borderId="0" xfId="0" applyFont="1" applyFill="1" applyBorder="1" applyAlignment="1">
      <alignment horizontal="center" vertical="center" wrapText="1" readingOrder="1"/>
    </xf>
    <xf numFmtId="0" fontId="32" fillId="4" borderId="0" xfId="0" applyFont="1" applyFill="1" applyBorder="1" applyAlignment="1">
      <alignment horizontal="right" vertical="center" wrapText="1"/>
    </xf>
    <xf numFmtId="0" fontId="32" fillId="4" borderId="0" xfId="0" applyFont="1" applyFill="1" applyBorder="1" applyAlignment="1">
      <alignment horizontal="right" vertical="center" wrapText="1" readingOrder="1"/>
    </xf>
    <xf numFmtId="0" fontId="13" fillId="5" borderId="9" xfId="0" applyFont="1" applyFill="1" applyBorder="1" applyAlignment="1">
      <alignment horizontal="right" vertical="center" wrapText="1" readingOrder="1"/>
    </xf>
    <xf numFmtId="0" fontId="3" fillId="4" borderId="9" xfId="0" applyFont="1" applyFill="1" applyBorder="1" applyAlignment="1">
      <alignment horizontal="right" vertical="center" wrapText="1"/>
    </xf>
    <xf numFmtId="167" fontId="35" fillId="5" borderId="9" xfId="1" applyNumberFormat="1" applyFont="1" applyFill="1" applyBorder="1" applyAlignment="1">
      <alignment horizontal="right" vertical="center" wrapText="1" readingOrder="1"/>
    </xf>
    <xf numFmtId="4" fontId="16" fillId="0" borderId="5" xfId="1" applyNumberFormat="1" applyFont="1" applyFill="1" applyBorder="1" applyAlignment="1">
      <alignment vertical="center" wrapText="1"/>
    </xf>
    <xf numFmtId="4" fontId="16" fillId="0" borderId="11" xfId="1" applyNumberFormat="1" applyFont="1" applyFill="1" applyBorder="1" applyAlignment="1">
      <alignment vertical="center" wrapText="1"/>
    </xf>
    <xf numFmtId="4" fontId="1" fillId="5" borderId="10" xfId="1" applyNumberFormat="1" applyFont="1" applyFill="1" applyBorder="1" applyAlignment="1">
      <alignment vertical="center" wrapText="1"/>
    </xf>
    <xf numFmtId="0" fontId="37" fillId="0" borderId="0" xfId="0" applyFont="1"/>
    <xf numFmtId="0" fontId="38" fillId="0" borderId="0" xfId="0" applyFont="1"/>
    <xf numFmtId="0" fontId="2" fillId="0" borderId="0" xfId="0" applyFont="1" applyFill="1" applyBorder="1" applyAlignment="1">
      <alignment horizontal="right" vertical="center" wrapText="1"/>
    </xf>
    <xf numFmtId="0" fontId="1" fillId="0" borderId="0" xfId="0" applyFont="1" applyFill="1" applyBorder="1" applyAlignment="1">
      <alignment horizontal="left" vertical="center" wrapText="1"/>
    </xf>
    <xf numFmtId="0" fontId="4" fillId="0" borderId="0" xfId="0" applyFont="1" applyFill="1" applyAlignment="1">
      <alignment horizontal="center" vertical="center" wrapText="1" readingOrder="2"/>
    </xf>
    <xf numFmtId="0" fontId="29" fillId="0" borderId="0" xfId="0" applyFont="1" applyBorder="1" applyAlignment="1">
      <alignment horizontal="right" vertical="center" wrapText="1" readingOrder="2"/>
    </xf>
    <xf numFmtId="0" fontId="2" fillId="5" borderId="10" xfId="0" applyFont="1" applyFill="1" applyBorder="1" applyAlignment="1">
      <alignment horizontal="right" vertical="center" wrapText="1"/>
    </xf>
    <xf numFmtId="0" fontId="29" fillId="0" borderId="0" xfId="0" applyFont="1" applyBorder="1" applyAlignment="1">
      <alignment horizontal="right" vertical="center" readingOrder="2"/>
    </xf>
    <xf numFmtId="0" fontId="29" fillId="0" borderId="0" xfId="0" applyFont="1" applyBorder="1" applyAlignment="1">
      <alignment horizontal="right" vertical="center" wrapText="1" readingOrder="2"/>
    </xf>
    <xf numFmtId="0" fontId="19" fillId="4" borderId="2" xfId="0" applyFont="1" applyFill="1" applyBorder="1" applyAlignment="1">
      <alignment horizontal="center" vertical="center" wrapText="1"/>
    </xf>
    <xf numFmtId="167" fontId="32" fillId="4" borderId="0" xfId="1" applyNumberFormat="1" applyFont="1" applyFill="1" applyBorder="1" applyAlignment="1">
      <alignment horizontal="center" vertical="center" wrapText="1" readingOrder="1"/>
    </xf>
    <xf numFmtId="167" fontId="13" fillId="5" borderId="9" xfId="1" applyNumberFormat="1" applyFont="1" applyFill="1" applyBorder="1" applyAlignment="1">
      <alignment horizontal="center" vertical="center" wrapText="1" readingOrder="1"/>
    </xf>
    <xf numFmtId="167" fontId="3" fillId="5" borderId="2" xfId="1" applyNumberFormat="1" applyFont="1" applyFill="1" applyBorder="1" applyAlignment="1">
      <alignment vertical="center" wrapText="1"/>
    </xf>
    <xf numFmtId="0" fontId="4" fillId="0" borderId="6" xfId="0" applyFont="1" applyFill="1" applyBorder="1" applyAlignment="1">
      <alignment horizontal="right" vertical="center" wrapText="1" readingOrder="2"/>
    </xf>
    <xf numFmtId="0" fontId="4" fillId="0" borderId="0" xfId="0" applyFont="1" applyFill="1" applyAlignment="1">
      <alignment horizontal="center" vertical="center" wrapText="1" readingOrder="2"/>
    </xf>
    <xf numFmtId="0" fontId="32" fillId="4" borderId="2" xfId="0" applyFont="1" applyFill="1" applyBorder="1" applyAlignment="1">
      <alignment horizontal="left" vertical="center" wrapText="1" readingOrder="1"/>
    </xf>
    <xf numFmtId="0" fontId="32" fillId="4" borderId="0" xfId="0" applyFont="1" applyFill="1" applyBorder="1" applyAlignment="1">
      <alignment horizontal="left" vertical="center" wrapText="1" readingOrder="1"/>
    </xf>
    <xf numFmtId="0" fontId="32" fillId="4" borderId="9" xfId="0" applyFont="1" applyFill="1" applyBorder="1" applyAlignment="1">
      <alignment horizontal="left" vertical="center" wrapText="1" readingOrder="1"/>
    </xf>
    <xf numFmtId="0" fontId="29" fillId="0" borderId="0" xfId="0" applyFont="1" applyBorder="1" applyAlignment="1">
      <alignment horizontal="right" vertical="center" wrapText="1" readingOrder="2"/>
    </xf>
    <xf numFmtId="0" fontId="8" fillId="0" borderId="0" xfId="0" applyFont="1" applyFill="1" applyAlignment="1">
      <alignment horizontal="center" vertical="center" wrapText="1" readingOrder="1"/>
    </xf>
    <xf numFmtId="0" fontId="8" fillId="0" borderId="6" xfId="0" applyFont="1" applyBorder="1" applyAlignment="1">
      <alignment horizontal="left" vertical="center"/>
    </xf>
    <xf numFmtId="0" fontId="13" fillId="0" borderId="0" xfId="0" applyFont="1" applyBorder="1" applyAlignment="1">
      <alignment horizontal="left" vertical="center" wrapText="1" readingOrder="1"/>
    </xf>
    <xf numFmtId="0" fontId="1" fillId="5" borderId="10" xfId="0" applyFont="1" applyFill="1" applyBorder="1" applyAlignment="1">
      <alignment horizontal="left" vertical="center" wrapText="1" readingOrder="1"/>
    </xf>
    <xf numFmtId="0" fontId="2" fillId="5" borderId="10" xfId="0" applyFont="1" applyFill="1" applyBorder="1" applyAlignment="1">
      <alignment horizontal="right" vertical="center" wrapText="1"/>
    </xf>
    <xf numFmtId="167" fontId="32" fillId="4" borderId="0" xfId="1" applyNumberFormat="1" applyFont="1" applyFill="1" applyBorder="1" applyAlignment="1">
      <alignment horizontal="center" vertical="center" wrapText="1" readingOrder="1"/>
    </xf>
    <xf numFmtId="167" fontId="32" fillId="4" borderId="9" xfId="1" applyNumberFormat="1" applyFont="1" applyFill="1" applyBorder="1" applyAlignment="1">
      <alignment horizontal="center" vertical="center" wrapText="1" readingOrder="1"/>
    </xf>
    <xf numFmtId="0" fontId="19" fillId="4" borderId="2"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29" fillId="0" borderId="0" xfId="0" applyFont="1" applyBorder="1" applyAlignment="1">
      <alignment horizontal="right" vertical="center" readingOrder="2"/>
    </xf>
    <xf numFmtId="0" fontId="20" fillId="4" borderId="2" xfId="0" applyFont="1" applyFill="1" applyBorder="1" applyAlignment="1">
      <alignment horizontal="center" vertical="center" wrapText="1"/>
    </xf>
    <xf numFmtId="0" fontId="11" fillId="0" borderId="0" xfId="0" applyFont="1" applyBorder="1" applyAlignment="1">
      <alignment horizontal="center" wrapText="1"/>
    </xf>
    <xf numFmtId="0" fontId="0" fillId="0" borderId="0" xfId="0" applyBorder="1" applyAlignment="1">
      <alignment horizontal="center" wrapText="1"/>
    </xf>
    <xf numFmtId="0" fontId="19" fillId="4" borderId="2" xfId="0" applyFont="1" applyFill="1" applyBorder="1" applyAlignment="1">
      <alignment horizontal="right" vertical="center" wrapText="1"/>
    </xf>
    <xf numFmtId="0" fontId="19" fillId="4" borderId="0" xfId="0" applyFont="1" applyFill="1" applyBorder="1" applyAlignment="1">
      <alignment horizontal="right" vertical="center" wrapText="1"/>
    </xf>
    <xf numFmtId="0" fontId="19" fillId="4" borderId="9" xfId="0" applyFont="1" applyFill="1" applyBorder="1" applyAlignment="1">
      <alignment horizontal="right" vertical="center" wrapText="1"/>
    </xf>
    <xf numFmtId="0" fontId="34" fillId="4" borderId="0" xfId="0" applyFont="1" applyFill="1" applyBorder="1" applyAlignment="1">
      <alignment horizontal="center" vertical="center" wrapText="1" readingOrder="1"/>
    </xf>
    <xf numFmtId="0" fontId="30" fillId="4" borderId="0" xfId="0" applyFont="1" applyFill="1" applyBorder="1" applyAlignment="1">
      <alignment horizontal="center" vertical="center" wrapText="1" readingOrder="1"/>
    </xf>
    <xf numFmtId="0" fontId="32" fillId="4" borderId="0" xfId="0" applyFont="1" applyFill="1" applyBorder="1" applyAlignment="1">
      <alignment horizontal="center" vertical="center" wrapText="1" readingOrder="1"/>
    </xf>
    <xf numFmtId="0" fontId="19" fillId="4" borderId="2" xfId="0" applyFont="1" applyFill="1" applyBorder="1" applyAlignment="1">
      <alignment horizontal="center" vertical="center" wrapText="1" readingOrder="2"/>
    </xf>
    <xf numFmtId="0" fontId="19" fillId="4" borderId="0" xfId="0" applyFont="1" applyFill="1" applyBorder="1" applyAlignment="1">
      <alignment horizontal="center" vertical="center" wrapText="1" readingOrder="2"/>
    </xf>
    <xf numFmtId="0" fontId="13" fillId="0" borderId="2" xfId="0" applyFont="1" applyBorder="1" applyAlignment="1">
      <alignment horizontal="left" vertical="center" readingOrder="1"/>
    </xf>
    <xf numFmtId="0" fontId="29" fillId="0" borderId="0" xfId="0" applyFont="1" applyBorder="1" applyAlignment="1">
      <alignment horizontal="right" vertical="center" wrapText="1"/>
    </xf>
    <xf numFmtId="0" fontId="13" fillId="0" borderId="8" xfId="0" applyFont="1" applyBorder="1" applyAlignment="1">
      <alignment horizontal="left" vertical="center" readingOrder="1"/>
    </xf>
    <xf numFmtId="0" fontId="11" fillId="0" borderId="8" xfId="0" applyFont="1" applyBorder="1" applyAlignment="1">
      <alignment horizontal="center" wrapText="1"/>
    </xf>
    <xf numFmtId="0" fontId="0" fillId="0" borderId="0" xfId="0" applyAlignment="1">
      <alignment horizontal="center" wrapText="1"/>
    </xf>
    <xf numFmtId="3" fontId="13" fillId="0" borderId="0" xfId="0" applyNumberFormat="1" applyFont="1" applyAlignment="1">
      <alignment horizontal="left" vertical="center" wrapText="1" readingOrder="1"/>
    </xf>
    <xf numFmtId="0" fontId="3" fillId="0" borderId="8" xfId="0" applyFont="1" applyBorder="1" applyAlignment="1">
      <alignment horizontal="right" vertical="center" wrapText="1"/>
    </xf>
    <xf numFmtId="0" fontId="13" fillId="0" borderId="8" xfId="0" applyFont="1" applyBorder="1" applyAlignment="1">
      <alignment horizontal="center" vertical="center" wrapText="1"/>
    </xf>
    <xf numFmtId="167" fontId="3" fillId="5" borderId="0" xfId="1" applyNumberFormat="1" applyFont="1" applyFill="1" applyBorder="1" applyAlignment="1">
      <alignment horizontal="center" vertical="center" wrapText="1"/>
    </xf>
    <xf numFmtId="167" fontId="3" fillId="5" borderId="9" xfId="1" applyNumberFormat="1" applyFont="1" applyFill="1" applyBorder="1" applyAlignment="1">
      <alignment horizontal="center" vertical="center" wrapText="1"/>
    </xf>
    <xf numFmtId="0" fontId="32" fillId="4" borderId="5" xfId="0" applyFont="1" applyFill="1" applyBorder="1" applyAlignment="1">
      <alignment horizontal="center" vertical="center" wrapText="1" readingOrder="1"/>
    </xf>
    <xf numFmtId="0" fontId="13" fillId="0" borderId="0" xfId="0" applyFont="1" applyAlignment="1">
      <alignment horizontal="left" vertical="center" wrapText="1" readingOrder="1"/>
    </xf>
    <xf numFmtId="0" fontId="32" fillId="4" borderId="2" xfId="0" applyFont="1" applyFill="1" applyBorder="1" applyAlignment="1">
      <alignment horizontal="center" vertical="center" wrapText="1" readingOrder="1"/>
    </xf>
    <xf numFmtId="0" fontId="32" fillId="4" borderId="9" xfId="0" applyFont="1" applyFill="1" applyBorder="1" applyAlignment="1">
      <alignment horizontal="center" vertical="center" wrapText="1" readingOrder="1"/>
    </xf>
    <xf numFmtId="0" fontId="13" fillId="0" borderId="0" xfId="0" applyFont="1" applyBorder="1" applyAlignment="1">
      <alignment horizontal="left" vertical="center" readingOrder="1"/>
    </xf>
    <xf numFmtId="0" fontId="19" fillId="4" borderId="0" xfId="0" applyFont="1" applyFill="1" applyBorder="1" applyAlignment="1">
      <alignment horizontal="center" vertical="center" wrapText="1"/>
    </xf>
    <xf numFmtId="0" fontId="19" fillId="4" borderId="9" xfId="0" applyFont="1" applyFill="1" applyBorder="1" applyAlignment="1">
      <alignment horizontal="center" vertical="center" wrapText="1"/>
    </xf>
    <xf numFmtId="0" fontId="3" fillId="0" borderId="0" xfId="0" applyFont="1" applyBorder="1" applyAlignment="1">
      <alignment horizontal="right" vertical="center" wrapText="1"/>
    </xf>
    <xf numFmtId="0" fontId="32" fillId="4" borderId="5" xfId="0" applyFont="1" applyFill="1" applyBorder="1" applyAlignment="1">
      <alignment horizontal="center" vertical="center" wrapText="1"/>
    </xf>
    <xf numFmtId="0" fontId="3" fillId="0" borderId="0" xfId="0" applyFont="1" applyBorder="1" applyAlignment="1">
      <alignment horizontal="right" vertical="center" wrapText="1" readingOrder="2"/>
    </xf>
    <xf numFmtId="0" fontId="13" fillId="0" borderId="8" xfId="0" applyFont="1" applyBorder="1" applyAlignment="1">
      <alignment horizontal="left" vertical="center" wrapText="1" readingOrder="1"/>
    </xf>
    <xf numFmtId="166" fontId="19" fillId="4" borderId="2" xfId="0" applyNumberFormat="1" applyFont="1" applyFill="1" applyBorder="1" applyAlignment="1">
      <alignment horizontal="right" vertical="center" wrapText="1"/>
    </xf>
    <xf numFmtId="166" fontId="19" fillId="4" borderId="9" xfId="0" applyNumberFormat="1" applyFont="1" applyFill="1" applyBorder="1" applyAlignment="1">
      <alignment horizontal="right" vertical="center" wrapText="1"/>
    </xf>
    <xf numFmtId="0" fontId="4" fillId="0" borderId="0" xfId="0" applyFont="1" applyFill="1" applyBorder="1" applyAlignment="1">
      <alignment horizontal="center" vertical="center" wrapText="1"/>
    </xf>
    <xf numFmtId="0" fontId="8" fillId="0" borderId="0" xfId="0" applyFont="1" applyFill="1" applyBorder="1" applyAlignment="1">
      <alignment horizontal="center" vertical="center" wrapText="1" readingOrder="1"/>
    </xf>
    <xf numFmtId="0" fontId="3" fillId="0" borderId="0" xfId="0" applyFont="1" applyBorder="1" applyAlignment="1">
      <alignment horizontal="right" vertical="center" readingOrder="2"/>
    </xf>
    <xf numFmtId="166" fontId="1" fillId="2" borderId="0" xfId="0" applyNumberFormat="1" applyFont="1" applyFill="1" applyBorder="1" applyAlignment="1">
      <alignment horizontal="left" vertical="center" wrapText="1" readingOrder="1"/>
    </xf>
    <xf numFmtId="0" fontId="3" fillId="0" borderId="8" xfId="0" applyFont="1" applyBorder="1" applyAlignment="1">
      <alignment horizontal="center" vertical="center" wrapText="1" readingOrder="2"/>
    </xf>
    <xf numFmtId="0" fontId="8" fillId="0" borderId="0" xfId="0" applyFont="1" applyFill="1" applyBorder="1" applyAlignment="1">
      <alignment horizontal="center" vertical="center" wrapText="1"/>
    </xf>
    <xf numFmtId="0" fontId="8" fillId="0" borderId="6" xfId="0" applyFont="1" applyFill="1" applyBorder="1" applyAlignment="1">
      <alignment horizontal="left" vertical="center" wrapText="1"/>
    </xf>
    <xf numFmtId="0" fontId="3" fillId="0" borderId="2" xfId="0" applyFont="1" applyBorder="1" applyAlignment="1">
      <alignment horizontal="right" vertical="center" readingOrder="2"/>
    </xf>
    <xf numFmtId="0" fontId="13" fillId="0" borderId="2" xfId="0" applyFont="1" applyBorder="1" applyAlignment="1">
      <alignment horizontal="left" vertical="center" wrapText="1" readingOrder="1"/>
    </xf>
    <xf numFmtId="0" fontId="32" fillId="4" borderId="2" xfId="0" applyFont="1" applyFill="1" applyBorder="1" applyAlignment="1">
      <alignment horizontal="left" vertical="center" wrapText="1"/>
    </xf>
    <xf numFmtId="0" fontId="32" fillId="4" borderId="0" xfId="0" applyFont="1" applyFill="1" applyBorder="1" applyAlignment="1">
      <alignment horizontal="left" vertical="center" wrapText="1"/>
    </xf>
    <xf numFmtId="0" fontId="32" fillId="4" borderId="9" xfId="0" applyFont="1" applyFill="1" applyBorder="1" applyAlignment="1">
      <alignment horizontal="left" vertical="center" wrapText="1"/>
    </xf>
    <xf numFmtId="0" fontId="32" fillId="4" borderId="0" xfId="0" applyFont="1" applyFill="1" applyBorder="1" applyAlignment="1">
      <alignment horizontal="center" vertical="center" wrapText="1"/>
    </xf>
    <xf numFmtId="166" fontId="20" fillId="4" borderId="2" xfId="0" applyNumberFormat="1" applyFont="1" applyFill="1" applyBorder="1" applyAlignment="1">
      <alignment horizontal="center" vertical="center" wrapText="1"/>
    </xf>
    <xf numFmtId="166" fontId="20" fillId="4" borderId="0" xfId="0" applyNumberFormat="1" applyFont="1" applyFill="1" applyBorder="1" applyAlignment="1">
      <alignment horizontal="center" vertical="center" wrapText="1"/>
    </xf>
    <xf numFmtId="0" fontId="13" fillId="0" borderId="8" xfId="0" applyFont="1" applyBorder="1" applyAlignment="1">
      <alignment horizontal="left" vertical="center" wrapText="1"/>
    </xf>
    <xf numFmtId="0" fontId="3" fillId="0" borderId="0" xfId="0" applyFont="1" applyFill="1" applyBorder="1" applyAlignment="1">
      <alignment horizontal="right" vertical="center" wrapText="1" readingOrder="2"/>
    </xf>
    <xf numFmtId="0" fontId="3" fillId="0" borderId="2" xfId="0" applyFont="1" applyFill="1" applyBorder="1" applyAlignment="1">
      <alignment horizontal="right" vertical="center" wrapText="1" readingOrder="2"/>
    </xf>
    <xf numFmtId="0" fontId="13" fillId="0" borderId="0" xfId="0" applyFont="1" applyBorder="1" applyAlignment="1">
      <alignment horizontal="left" vertical="center" wrapText="1"/>
    </xf>
    <xf numFmtId="0" fontId="13" fillId="0" borderId="2" xfId="0" applyFont="1" applyFill="1" applyBorder="1" applyAlignment="1">
      <alignment horizontal="left" vertical="center" wrapText="1" readingOrder="1"/>
    </xf>
    <xf numFmtId="0" fontId="3" fillId="0" borderId="2" xfId="0" applyFont="1" applyFill="1" applyBorder="1" applyAlignment="1">
      <alignment horizontal="left" vertical="center" wrapText="1" readingOrder="1"/>
    </xf>
    <xf numFmtId="0" fontId="13" fillId="0" borderId="0" xfId="0" applyFont="1" applyFill="1" applyBorder="1" applyAlignment="1">
      <alignment horizontal="left" vertical="center" wrapText="1" readingOrder="1"/>
    </xf>
    <xf numFmtId="0" fontId="3" fillId="0" borderId="0" xfId="0" applyFont="1" applyBorder="1" applyAlignment="1">
      <alignment vertical="center" wrapText="1"/>
    </xf>
    <xf numFmtId="0" fontId="2" fillId="5" borderId="11" xfId="0" applyFont="1" applyFill="1" applyBorder="1" applyAlignment="1">
      <alignment horizontal="right" vertical="center" wrapText="1"/>
    </xf>
    <xf numFmtId="0" fontId="8" fillId="0" borderId="6" xfId="0" applyFont="1" applyBorder="1" applyAlignment="1">
      <alignment horizontal="left" vertical="center" readingOrder="1"/>
    </xf>
    <xf numFmtId="0" fontId="0" fillId="0" borderId="6" xfId="0" applyBorder="1" applyAlignment="1">
      <alignment horizontal="left" vertical="center" readingOrder="1"/>
    </xf>
    <xf numFmtId="0" fontId="1" fillId="0" borderId="8" xfId="0" applyFont="1" applyBorder="1" applyAlignment="1">
      <alignment horizontal="left" vertical="center" wrapText="1" readingOrder="1"/>
    </xf>
    <xf numFmtId="0" fontId="1" fillId="0" borderId="5" xfId="0" applyFont="1" applyBorder="1" applyAlignment="1">
      <alignment horizontal="left" vertical="center" wrapText="1" readingOrder="1"/>
    </xf>
    <xf numFmtId="0" fontId="2" fillId="0" borderId="4" xfId="0" applyFont="1" applyBorder="1" applyAlignment="1">
      <alignment horizontal="right" vertical="center" wrapText="1"/>
    </xf>
    <xf numFmtId="0" fontId="2" fillId="0" borderId="1" xfId="0" applyFont="1" applyBorder="1" applyAlignment="1">
      <alignment horizontal="right" vertical="center" wrapText="1"/>
    </xf>
    <xf numFmtId="0" fontId="13" fillId="0" borderId="8" xfId="0" applyFont="1" applyBorder="1" applyAlignment="1">
      <alignment horizontal="left" wrapText="1"/>
    </xf>
    <xf numFmtId="0" fontId="1" fillId="0" borderId="7" xfId="0" applyFont="1" applyBorder="1" applyAlignment="1">
      <alignment horizontal="left" vertical="center" wrapText="1" readingOrder="1"/>
    </xf>
    <xf numFmtId="0" fontId="1" fillId="0" borderId="7" xfId="0" applyFont="1" applyBorder="1" applyAlignment="1">
      <alignment horizontal="left" vertical="center" wrapText="1" readingOrder="2"/>
    </xf>
    <xf numFmtId="0" fontId="1" fillId="0" borderId="5" xfId="0" applyFont="1" applyBorder="1" applyAlignment="1">
      <alignment horizontal="left" vertical="center" wrapText="1" readingOrder="2"/>
    </xf>
    <xf numFmtId="0" fontId="1" fillId="0" borderId="9" xfId="0" applyFont="1" applyBorder="1" applyAlignment="1">
      <alignment horizontal="left" vertical="center" wrapText="1" readingOrder="2"/>
    </xf>
    <xf numFmtId="0" fontId="1" fillId="5" borderId="11" xfId="0" applyFont="1" applyFill="1" applyBorder="1" applyAlignment="1">
      <alignment horizontal="left" vertical="center" wrapText="1" readingOrder="1"/>
    </xf>
    <xf numFmtId="0" fontId="2" fillId="0" borderId="7" xfId="0" applyFont="1" applyBorder="1" applyAlignment="1">
      <alignment horizontal="right" vertical="center" wrapText="1"/>
    </xf>
    <xf numFmtId="167" fontId="1" fillId="2" borderId="7" xfId="1" applyNumberFormat="1" applyFont="1" applyFill="1" applyBorder="1" applyAlignment="1">
      <alignment horizontal="center" vertical="center" wrapText="1"/>
    </xf>
    <xf numFmtId="167" fontId="1" fillId="2" borderId="5" xfId="1" applyNumberFormat="1" applyFont="1" applyFill="1" applyBorder="1" applyAlignment="1">
      <alignment horizontal="center" vertical="center" wrapText="1"/>
    </xf>
    <xf numFmtId="0" fontId="20" fillId="4" borderId="2" xfId="0" applyFont="1" applyFill="1" applyBorder="1" applyAlignment="1">
      <alignment horizontal="center" vertical="center" wrapText="1" readingOrder="2"/>
    </xf>
    <xf numFmtId="0" fontId="20" fillId="4" borderId="0" xfId="0" applyFont="1" applyFill="1" applyBorder="1" applyAlignment="1">
      <alignment horizontal="center" vertical="center" wrapText="1" readingOrder="2"/>
    </xf>
    <xf numFmtId="0" fontId="20" fillId="4" borderId="0" xfId="0" applyFont="1" applyFill="1" applyBorder="1" applyAlignment="1">
      <alignment horizontal="center" vertical="center" wrapText="1"/>
    </xf>
    <xf numFmtId="0" fontId="35" fillId="0" borderId="0" xfId="0" applyFont="1" applyAlignment="1">
      <alignment horizontal="left" vertical="center" wrapText="1" readingOrder="1"/>
    </xf>
    <xf numFmtId="0" fontId="8" fillId="0" borderId="0" xfId="0" applyFont="1" applyAlignment="1">
      <alignment horizontal="center" vertical="center"/>
    </xf>
    <xf numFmtId="0" fontId="35" fillId="0" borderId="0" xfId="0" applyFont="1" applyFill="1" applyBorder="1" applyAlignment="1">
      <alignment horizontal="left" vertical="center" wrapText="1" readingOrder="1"/>
    </xf>
    <xf numFmtId="0" fontId="29" fillId="0" borderId="0" xfId="0" applyFont="1" applyFill="1" applyBorder="1" applyAlignment="1">
      <alignment horizontal="right" vertical="center" wrapText="1" readingOrder="2"/>
    </xf>
    <xf numFmtId="0" fontId="34" fillId="4" borderId="9" xfId="0" applyFont="1" applyFill="1" applyBorder="1" applyAlignment="1">
      <alignment horizontal="center" vertical="center" wrapText="1" readingOrder="1"/>
    </xf>
    <xf numFmtId="0" fontId="4" fillId="2" borderId="6" xfId="0" applyFont="1" applyFill="1" applyBorder="1" applyAlignment="1">
      <alignment horizontal="right" vertical="center" wrapText="1"/>
    </xf>
    <xf numFmtId="0" fontId="0" fillId="0" borderId="6" xfId="0" applyBorder="1" applyAlignment="1">
      <alignment horizontal="center"/>
    </xf>
    <xf numFmtId="0" fontId="18" fillId="0" borderId="6" xfId="0" applyFont="1" applyBorder="1" applyAlignment="1">
      <alignment horizontal="center"/>
    </xf>
    <xf numFmtId="0" fontId="8" fillId="2" borderId="0" xfId="0" applyFont="1" applyFill="1" applyAlignment="1">
      <alignment horizontal="center" vertical="center"/>
    </xf>
    <xf numFmtId="0" fontId="8" fillId="0" borderId="0" xfId="0" applyFont="1" applyBorder="1" applyAlignment="1">
      <alignment horizontal="center" vertical="center" wrapText="1"/>
    </xf>
    <xf numFmtId="0" fontId="35" fillId="0" borderId="0" xfId="0" applyFont="1" applyBorder="1" applyAlignment="1">
      <alignment horizontal="left" vertical="center" wrapText="1" readingOrder="1"/>
    </xf>
    <xf numFmtId="0" fontId="8" fillId="0" borderId="6" xfId="0" applyFont="1" applyBorder="1" applyAlignment="1">
      <alignment vertical="center"/>
    </xf>
    <xf numFmtId="0" fontId="8" fillId="0" borderId="0" xfId="0" applyFont="1" applyBorder="1" applyAlignment="1">
      <alignment vertical="center"/>
    </xf>
    <xf numFmtId="167" fontId="35" fillId="5" borderId="9" xfId="1" applyNumberFormat="1" applyFont="1" applyFill="1" applyBorder="1" applyAlignment="1">
      <alignment horizontal="right" vertical="top" wrapText="1"/>
    </xf>
  </cellXfs>
  <cellStyles count="2">
    <cellStyle name="Comma" xfId="1" builtinId="3"/>
    <cellStyle name="Normal" xfId="0" builtinId="0"/>
  </cellStyles>
  <dxfs count="23">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s>
  <tableStyles count="0" defaultTableStyle="TableStyleMedium9" defaultPivotStyle="PivotStyleLight16"/>
  <colors>
    <mruColors>
      <color rgb="FF007434"/>
      <color rgb="FF996633"/>
      <color rgb="FFE7FFF2"/>
      <color rgb="FF75FFB3"/>
      <color rgb="FFDEE9C9"/>
      <color rgb="FFE2EC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pivotCacheDefinition" Target="pivotCache/pivotCacheDefinition3.xml"/><Relationship Id="rId26" Type="http://schemas.openxmlformats.org/officeDocument/2006/relationships/pivotCacheDefinition" Target="pivotCache/pivotCacheDefinition11.xml"/><Relationship Id="rId3" Type="http://schemas.openxmlformats.org/officeDocument/2006/relationships/worksheet" Target="worksheets/sheet3.xml"/><Relationship Id="rId21" Type="http://schemas.openxmlformats.org/officeDocument/2006/relationships/pivotCacheDefinition" Target="pivotCache/pivotCacheDefinition6.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pivotCacheDefinition" Target="pivotCache/pivotCacheDefinition2.xml"/><Relationship Id="rId25" Type="http://schemas.openxmlformats.org/officeDocument/2006/relationships/pivotCacheDefinition" Target="pivotCache/pivotCacheDefinition10.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pivotCacheDefinition" Target="pivotCache/pivotCacheDefinition1.xml"/><Relationship Id="rId20" Type="http://schemas.openxmlformats.org/officeDocument/2006/relationships/pivotCacheDefinition" Target="pivotCache/pivotCacheDefinition5.xml"/><Relationship Id="rId29" Type="http://schemas.openxmlformats.org/officeDocument/2006/relationships/pivotCacheDefinition" Target="pivotCache/pivotCacheDefinition1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ivotCacheDefinition" Target="pivotCache/pivotCacheDefinition9.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ivotCacheDefinition" Target="pivotCache/pivotCacheDefinition8.xml"/><Relationship Id="rId28" Type="http://schemas.openxmlformats.org/officeDocument/2006/relationships/pivotCacheDefinition" Target="pivotCache/pivotCacheDefinition13.xml"/><Relationship Id="rId10" Type="http://schemas.openxmlformats.org/officeDocument/2006/relationships/worksheet" Target="worksheets/sheet10.xml"/><Relationship Id="rId19" Type="http://schemas.openxmlformats.org/officeDocument/2006/relationships/pivotCacheDefinition" Target="pivotCache/pivotCacheDefinition4.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pivotCacheDefinition" Target="pivotCache/pivotCacheDefinition7.xml"/><Relationship Id="rId27" Type="http://schemas.openxmlformats.org/officeDocument/2006/relationships/pivotCacheDefinition" Target="pivotCache/pivotCacheDefinition12.xml"/><Relationship Id="rId30" Type="http://schemas.openxmlformats.org/officeDocument/2006/relationships/pivotCacheDefinition" Target="pivotCache/pivotCacheDefinition15.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ar-IQ" sz="1000" b="1" i="0" baseline="0">
                <a:effectLst/>
              </a:rPr>
              <a:t>شكل (1): مساحة الأراضي المزروعة حسب طبيعة الإرواء وخطة وزارة الزراعية </a:t>
            </a:r>
            <a:r>
              <a:rPr lang="ar-SA" sz="1000" b="1" i="0" baseline="0">
                <a:effectLst/>
              </a:rPr>
              <a:t>للموسم الشتوي </a:t>
            </a:r>
            <a:r>
              <a:rPr lang="ar-IQ" sz="1000" b="1" i="0" baseline="0">
                <a:effectLst/>
              </a:rPr>
              <a:t>(2022-2023)</a:t>
            </a:r>
            <a:endParaRPr lang="en-US" sz="1000">
              <a:effectLst/>
            </a:endParaRPr>
          </a:p>
        </c:rich>
      </c:tx>
      <c:layout>
        <c:manualLayout>
          <c:xMode val="edge"/>
          <c:yMode val="edge"/>
          <c:x val="0.13735709885138953"/>
          <c:y val="5.374712692261413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4532462381109112"/>
          <c:y val="0.23755965587495112"/>
          <c:w val="0.77389962106826682"/>
          <c:h val="0.49818130750202561"/>
        </c:manualLayout>
      </c:layout>
      <c:barChart>
        <c:barDir val="col"/>
        <c:grouping val="clustered"/>
        <c:varyColors val="0"/>
        <c:ser>
          <c:idx val="0"/>
          <c:order val="0"/>
          <c:spPr>
            <a:gradFill>
              <a:gsLst>
                <a:gs pos="0">
                  <a:schemeClr val="accent3">
                    <a:lumMod val="89000"/>
                  </a:schemeClr>
                </a:gs>
                <a:gs pos="23000">
                  <a:schemeClr val="accent3">
                    <a:lumMod val="89000"/>
                  </a:schemeClr>
                </a:gs>
                <a:gs pos="69000">
                  <a:schemeClr val="accent3">
                    <a:lumMod val="75000"/>
                  </a:schemeClr>
                </a:gs>
                <a:gs pos="97000">
                  <a:schemeClr val="accent3">
                    <a:lumMod val="70000"/>
                  </a:schemeClr>
                </a:gs>
              </a:gsLst>
              <a:path path="circle">
                <a:fillToRect l="50000" t="50000" r="50000" b="50000"/>
              </a:path>
            </a:gradFill>
            <a:ln>
              <a:solidFill>
                <a:schemeClr val="accent3">
                  <a:lumMod val="50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'1أ'!$N$28:$N$31</c:f>
              <c:strCache>
                <c:ptCount val="4"/>
                <c:pt idx="1">
                  <c:v>المروية (أبار)</c:v>
                </c:pt>
                <c:pt idx="2">
                  <c:v>المروية (أنهار)</c:v>
                </c:pt>
                <c:pt idx="3">
                  <c:v>المساحات التي تغطيها منظومات الري الحديثة من المساحات المروية (أنهار وأبار) </c:v>
                </c:pt>
              </c:strCache>
            </c:strRef>
          </c:cat>
          <c:val>
            <c:numRef>
              <c:f>'1أ'!$O$28:$O$31</c:f>
              <c:numCache>
                <c:formatCode>_(* #,##0.0_);_(* \(#,##0.0\);_(* "-"??_);_(@_)</c:formatCode>
                <c:ptCount val="4"/>
                <c:pt idx="0" formatCode="0.0">
                  <c:v>7.0387490000000001</c:v>
                </c:pt>
                <c:pt idx="1">
                  <c:v>3.4239639999999998</c:v>
                </c:pt>
                <c:pt idx="2">
                  <c:v>2.5278299999999998</c:v>
                </c:pt>
                <c:pt idx="3" formatCode="0.0">
                  <c:v>2.319836</c:v>
                </c:pt>
              </c:numCache>
            </c:numRef>
          </c:val>
          <c:extLst>
            <c:ext xmlns:c16="http://schemas.microsoft.com/office/drawing/2014/chart" uri="{C3380CC4-5D6E-409C-BE32-E72D297353CC}">
              <c16:uniqueId val="{00000000-6A13-4664-9C5B-F530D0F990BA}"/>
            </c:ext>
          </c:extLst>
        </c:ser>
        <c:dLbls>
          <c:showLegendKey val="0"/>
          <c:showVal val="0"/>
          <c:showCatName val="0"/>
          <c:showSerName val="0"/>
          <c:showPercent val="0"/>
          <c:showBubbleSize val="0"/>
        </c:dLbls>
        <c:gapWidth val="219"/>
        <c:overlap val="-27"/>
        <c:axId val="523661768"/>
        <c:axId val="523662096"/>
      </c:barChart>
      <c:catAx>
        <c:axId val="523661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23662096"/>
        <c:crosses val="autoZero"/>
        <c:auto val="1"/>
        <c:lblAlgn val="ctr"/>
        <c:lblOffset val="100"/>
        <c:noMultiLvlLbl val="0"/>
      </c:catAx>
      <c:valAx>
        <c:axId val="52366209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52366176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a:scene3d>
      <a:camera prst="orthographicFront"/>
      <a:lightRig rig="threePt" dir="t"/>
    </a:scene3d>
    <a:sp3d/>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ar-IQ" sz="900" b="1" i="0" baseline="0">
                <a:effectLst/>
              </a:rPr>
              <a:t>شكل (2): النسب المئوية لمساحة الأراضي المزروعة والمروية بإلأنهار والأبار حسب خطة وزارة الزراعة </a:t>
            </a:r>
            <a:r>
              <a:rPr lang="ar-SA" sz="900" b="1" i="0" baseline="0">
                <a:effectLst/>
              </a:rPr>
              <a:t>للمو</a:t>
            </a:r>
            <a:r>
              <a:rPr lang="ar-IQ" sz="900" b="1" i="0" baseline="0">
                <a:effectLst/>
              </a:rPr>
              <a:t>ا</a:t>
            </a:r>
            <a:r>
              <a:rPr lang="ar-SA" sz="900" b="1" i="0" baseline="0">
                <a:effectLst/>
              </a:rPr>
              <a:t>سم الشتوي</a:t>
            </a:r>
            <a:r>
              <a:rPr lang="ar-IQ" sz="900" b="1" i="0" baseline="0">
                <a:effectLst/>
              </a:rPr>
              <a:t>ة</a:t>
            </a:r>
            <a:r>
              <a:rPr lang="ar-SA" sz="900" b="1" i="0" baseline="0">
                <a:effectLst/>
              </a:rPr>
              <a:t> </a:t>
            </a:r>
            <a:r>
              <a:rPr lang="ar-IQ" sz="900" b="1" i="0" baseline="0">
                <a:effectLst/>
              </a:rPr>
              <a:t>من (2013 - 2014) الى (2022 - 2023)</a:t>
            </a:r>
            <a:endParaRPr lang="en-US" sz="700">
              <a:effectLst/>
            </a:endParaRPr>
          </a:p>
        </c:rich>
      </c:tx>
      <c:layout>
        <c:manualLayout>
          <c:xMode val="edge"/>
          <c:yMode val="edge"/>
          <c:x val="0.15908993964532167"/>
          <c:y val="8.838446631531260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4372405216258136"/>
          <c:y val="0.23455009807633356"/>
          <c:w val="0.77391188674005051"/>
          <c:h val="0.43780417584850723"/>
        </c:manualLayout>
      </c:layout>
      <c:lineChart>
        <c:grouping val="standard"/>
        <c:varyColors val="0"/>
        <c:ser>
          <c:idx val="0"/>
          <c:order val="0"/>
          <c:tx>
            <c:strRef>
              <c:f>'1ج'!$M$4:$M$6</c:f>
              <c:strCache>
                <c:ptCount val="3"/>
                <c:pt idx="2">
                  <c:v>المروية (أنهار)</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'1ج'!$L$7:$L$16</c:f>
              <c:strCache>
                <c:ptCount val="10"/>
                <c:pt idx="1">
                  <c:v>2014 - 2013</c:v>
                </c:pt>
                <c:pt idx="2">
                  <c:v>2015 - 2014</c:v>
                </c:pt>
                <c:pt idx="3">
                  <c:v>2016 - 2015</c:v>
                </c:pt>
                <c:pt idx="4">
                  <c:v>2017 - 2016</c:v>
                </c:pt>
                <c:pt idx="5">
                  <c:v>2018 - 2017</c:v>
                </c:pt>
                <c:pt idx="6">
                  <c:v>2019 - 2018</c:v>
                </c:pt>
                <c:pt idx="7">
                  <c:v>2020- 2019</c:v>
                </c:pt>
                <c:pt idx="8">
                  <c:v>2021 - 2020</c:v>
                </c:pt>
                <c:pt idx="9">
                  <c:v>2022 - 2021</c:v>
                </c:pt>
              </c:strCache>
            </c:strRef>
          </c:cat>
          <c:val>
            <c:numRef>
              <c:f>'1ج'!$M$7:$M$16</c:f>
              <c:numCache>
                <c:formatCode>#,##0.0</c:formatCode>
                <c:ptCount val="10"/>
                <c:pt idx="1">
                  <c:v>44.494463343253493</c:v>
                </c:pt>
                <c:pt idx="2">
                  <c:v>75.861929436246811</c:v>
                </c:pt>
                <c:pt idx="3">
                  <c:v>56.569553465871827</c:v>
                </c:pt>
                <c:pt idx="4">
                  <c:v>52.646714027794729</c:v>
                </c:pt>
                <c:pt idx="5">
                  <c:v>35.105731001809616</c:v>
                </c:pt>
                <c:pt idx="6">
                  <c:v>22.753299398659678</c:v>
                </c:pt>
                <c:pt idx="7">
                  <c:v>38.679228791665139</c:v>
                </c:pt>
                <c:pt idx="8">
                  <c:v>34.392732678014205</c:v>
                </c:pt>
                <c:pt idx="9">
                  <c:v>20.017964922439997</c:v>
                </c:pt>
              </c:numCache>
            </c:numRef>
          </c:val>
          <c:smooth val="0"/>
          <c:extLst>
            <c:ext xmlns:c16="http://schemas.microsoft.com/office/drawing/2014/chart" uri="{C3380CC4-5D6E-409C-BE32-E72D297353CC}">
              <c16:uniqueId val="{00000000-89A1-48D8-AAD7-0DEA59C70C33}"/>
            </c:ext>
          </c:extLst>
        </c:ser>
        <c:ser>
          <c:idx val="1"/>
          <c:order val="1"/>
          <c:tx>
            <c:strRef>
              <c:f>'1ج'!$N$4:$N$6</c:f>
              <c:strCache>
                <c:ptCount val="3"/>
                <c:pt idx="2">
                  <c:v>المروية (أبار)</c:v>
                </c:pt>
              </c:strCache>
            </c:strRef>
          </c:tx>
          <c:spPr>
            <a:ln w="28575" cap="rnd">
              <a:solidFill>
                <a:srgbClr val="996633"/>
              </a:solidFill>
              <a:round/>
            </a:ln>
            <a:effectLst/>
          </c:spPr>
          <c:marker>
            <c:symbol val="circle"/>
            <c:size val="5"/>
            <c:spPr>
              <a:solidFill>
                <a:schemeClr val="accent2"/>
              </a:solidFill>
              <a:ln w="9525">
                <a:solidFill>
                  <a:schemeClr val="accent2"/>
                </a:solidFill>
              </a:ln>
              <a:effectLst/>
            </c:spPr>
          </c:marker>
          <c:cat>
            <c:strRef>
              <c:f>'1ج'!$L$7:$L$16</c:f>
              <c:strCache>
                <c:ptCount val="10"/>
                <c:pt idx="1">
                  <c:v>2014 - 2013</c:v>
                </c:pt>
                <c:pt idx="2">
                  <c:v>2015 - 2014</c:v>
                </c:pt>
                <c:pt idx="3">
                  <c:v>2016 - 2015</c:v>
                </c:pt>
                <c:pt idx="4">
                  <c:v>2017 - 2016</c:v>
                </c:pt>
                <c:pt idx="5">
                  <c:v>2018 - 2017</c:v>
                </c:pt>
                <c:pt idx="6">
                  <c:v>2019 - 2018</c:v>
                </c:pt>
                <c:pt idx="7">
                  <c:v>2020- 2019</c:v>
                </c:pt>
                <c:pt idx="8">
                  <c:v>2021 - 2020</c:v>
                </c:pt>
                <c:pt idx="9">
                  <c:v>2022 - 2021</c:v>
                </c:pt>
              </c:strCache>
            </c:strRef>
          </c:cat>
          <c:val>
            <c:numRef>
              <c:f>'1ج'!$N$7:$N$16</c:f>
              <c:numCache>
                <c:formatCode>#,##0.0</c:formatCode>
                <c:ptCount val="10"/>
                <c:pt idx="1">
                  <c:v>12.657416702945969</c:v>
                </c:pt>
                <c:pt idx="2">
                  <c:v>17.400859412230862</c:v>
                </c:pt>
                <c:pt idx="3">
                  <c:v>18.095854029418032</c:v>
                </c:pt>
                <c:pt idx="4">
                  <c:v>20.01159334950469</c:v>
                </c:pt>
                <c:pt idx="5">
                  <c:v>16.40448682837361</c:v>
                </c:pt>
                <c:pt idx="6">
                  <c:v>22.39052291010109</c:v>
                </c:pt>
                <c:pt idx="7">
                  <c:v>17.436691043146734</c:v>
                </c:pt>
                <c:pt idx="8">
                  <c:v>19.367600188609746</c:v>
                </c:pt>
                <c:pt idx="9">
                  <c:v>24.884956755590736</c:v>
                </c:pt>
              </c:numCache>
            </c:numRef>
          </c:val>
          <c:smooth val="0"/>
          <c:extLst>
            <c:ext xmlns:c16="http://schemas.microsoft.com/office/drawing/2014/chart" uri="{C3380CC4-5D6E-409C-BE32-E72D297353CC}">
              <c16:uniqueId val="{00000001-89A1-48D8-AAD7-0DEA59C70C33}"/>
            </c:ext>
          </c:extLst>
        </c:ser>
        <c:dLbls>
          <c:showLegendKey val="0"/>
          <c:showVal val="0"/>
          <c:showCatName val="0"/>
          <c:showSerName val="0"/>
          <c:showPercent val="0"/>
          <c:showBubbleSize val="0"/>
        </c:dLbls>
        <c:marker val="1"/>
        <c:smooth val="0"/>
        <c:axId val="387307824"/>
        <c:axId val="387300608"/>
      </c:lineChart>
      <c:dateAx>
        <c:axId val="387307824"/>
        <c:scaling>
          <c:orientation val="minMax"/>
        </c:scaling>
        <c:delete val="0"/>
        <c:axPos val="b"/>
        <c:numFmt formatCode="0.00" sourceLinked="0"/>
        <c:majorTickMark val="cross"/>
        <c:minorTickMark val="cross"/>
        <c:tickLblPos val="nextTo"/>
        <c:spPr>
          <a:noFill/>
          <a:ln w="9525" cap="flat" cmpd="sng" algn="ctr">
            <a:solidFill>
              <a:schemeClr val="tx1">
                <a:lumMod val="15000"/>
                <a:lumOff val="85000"/>
              </a:schemeClr>
            </a:solidFill>
            <a:round/>
          </a:ln>
          <a:effectLst/>
        </c:spPr>
        <c:txPr>
          <a:bodyPr rot="-5400000" spcFirstLastPara="1" vertOverflow="ellipsis" wrap="square" anchor="t" anchorCtr="1"/>
          <a:lstStyle/>
          <a:p>
            <a:pPr>
              <a:defRPr sz="800" b="1" i="0" u="none" strike="noStrike" kern="1200" baseline="0">
                <a:solidFill>
                  <a:schemeClr val="tx1">
                    <a:lumMod val="65000"/>
                    <a:lumOff val="35000"/>
                  </a:schemeClr>
                </a:solidFill>
                <a:latin typeface="+mn-lt"/>
                <a:ea typeface="+mn-ea"/>
                <a:cs typeface="+mn-cs"/>
              </a:defRPr>
            </a:pPr>
            <a:endParaRPr lang="en-US"/>
          </a:p>
        </c:txPr>
        <c:crossAx val="387300608"/>
        <c:crosses val="autoZero"/>
        <c:auto val="0"/>
        <c:lblOffset val="100"/>
        <c:baseTimeUnit val="days"/>
      </c:dateAx>
      <c:valAx>
        <c:axId val="3873006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n-US"/>
          </a:p>
        </c:txPr>
        <c:crossAx val="387307824"/>
        <c:crosses val="autoZero"/>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1">
              <a:defRPr sz="1400" b="0" i="0" u="none" strike="noStrike" kern="1200" spc="0" baseline="0">
                <a:solidFill>
                  <a:schemeClr val="tx1">
                    <a:lumMod val="65000"/>
                    <a:lumOff val="35000"/>
                  </a:schemeClr>
                </a:solidFill>
                <a:latin typeface="+mn-lt"/>
                <a:ea typeface="+mn-ea"/>
                <a:cs typeface="+mn-cs"/>
              </a:defRPr>
            </a:pPr>
            <a:r>
              <a:rPr lang="ar-IQ" sz="900" b="1">
                <a:latin typeface="Arial" panose="020B0604020202020204" pitchFamily="34" charset="0"/>
                <a:cs typeface="Arial" panose="020B0604020202020204" pitchFamily="34" charset="0"/>
              </a:rPr>
              <a:t>شكل (3): النسبة المئوية لمساحة الأراضي المهدّدة بالتصحر (بضمنها الأراضي الصحراوية)</a:t>
            </a:r>
            <a:r>
              <a:rPr lang="ar-IQ" sz="900" b="1" baseline="0">
                <a:latin typeface="Arial" panose="020B0604020202020204" pitchFamily="34" charset="0"/>
                <a:cs typeface="Arial" panose="020B0604020202020204" pitchFamily="34" charset="0"/>
              </a:rPr>
              <a:t> </a:t>
            </a:r>
            <a:r>
              <a:rPr lang="ar-IQ" sz="900" b="1" i="0" u="none" strike="noStrike" kern="1200" spc="0" baseline="0">
                <a:solidFill>
                  <a:sysClr val="windowText" lastClr="000000">
                    <a:lumMod val="65000"/>
                    <a:lumOff val="35000"/>
                  </a:sysClr>
                </a:solidFill>
                <a:latin typeface="Arial" panose="020B0604020202020204" pitchFamily="34" charset="0"/>
                <a:ea typeface="+mn-ea"/>
                <a:cs typeface="Arial" panose="020B0604020202020204" pitchFamily="34" charset="0"/>
              </a:rPr>
              <a:t>والمتصحرة</a:t>
            </a:r>
            <a:r>
              <a:rPr lang="ar-IQ" sz="900" b="1" baseline="0">
                <a:latin typeface="Arial" panose="020B0604020202020204" pitchFamily="34" charset="0"/>
                <a:cs typeface="Arial" panose="020B0604020202020204" pitchFamily="34" charset="0"/>
              </a:rPr>
              <a:t> والكثبان الرملية من مساحة العراق لسنتي</a:t>
            </a:r>
            <a:r>
              <a:rPr lang="ar-IQ" sz="900" baseline="0">
                <a:latin typeface="Arial" panose="020B0604020202020204" pitchFamily="34" charset="0"/>
                <a:cs typeface="Arial" panose="020B0604020202020204" pitchFamily="34" charset="0"/>
              </a:rPr>
              <a:t> </a:t>
            </a:r>
            <a:r>
              <a:rPr lang="ar-IQ" sz="900" b="1" baseline="0">
                <a:latin typeface="Arial" panose="020B0604020202020204" pitchFamily="34" charset="0"/>
                <a:cs typeface="Arial" panose="020B0604020202020204" pitchFamily="34" charset="0"/>
              </a:rPr>
              <a:t>2016 و 2022</a:t>
            </a:r>
            <a:r>
              <a:rPr lang="ar-IQ" sz="900" b="1">
                <a:latin typeface="Arial" panose="020B0604020202020204" pitchFamily="34" charset="0"/>
                <a:cs typeface="Arial" panose="020B0604020202020204" pitchFamily="34" charset="0"/>
              </a:rPr>
              <a:t> </a:t>
            </a:r>
            <a:endParaRPr lang="en-US" sz="900" b="1">
              <a:latin typeface="Arial" panose="020B0604020202020204" pitchFamily="34" charset="0"/>
              <a:cs typeface="Arial" panose="020B0604020202020204" pitchFamily="34" charset="0"/>
            </a:endParaRPr>
          </a:p>
        </c:rich>
      </c:tx>
      <c:layout>
        <c:manualLayout>
          <c:xMode val="edge"/>
          <c:yMode val="edge"/>
          <c:x val="0.11278455818022748"/>
          <c:y val="3.7037037037037035E-2"/>
        </c:manualLayout>
      </c:layout>
      <c:overlay val="0"/>
      <c:spPr>
        <a:noFill/>
        <a:ln>
          <a:noFill/>
        </a:ln>
        <a:effectLst/>
      </c:spPr>
      <c:txPr>
        <a:bodyPr rot="0" spcFirstLastPara="1" vertOverflow="ellipsis" vert="horz" wrap="square" anchor="ctr" anchorCtr="1"/>
        <a:lstStyle/>
        <a:p>
          <a:pPr rtl="1">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3437794264156286"/>
          <c:y val="0.18837962962962962"/>
          <c:w val="0.8373625840122586"/>
          <c:h val="0.57788021289005542"/>
        </c:manualLayout>
      </c:layout>
      <c:bar3DChart>
        <c:barDir val="col"/>
        <c:grouping val="clustered"/>
        <c:varyColors val="0"/>
        <c:ser>
          <c:idx val="0"/>
          <c:order val="0"/>
          <c:tx>
            <c:strRef>
              <c:f>'4'!$C$46</c:f>
              <c:strCache>
                <c:ptCount val="1"/>
                <c:pt idx="0">
                  <c:v>2022</c:v>
                </c:pt>
              </c:strCache>
            </c:strRef>
          </c:tx>
          <c:spPr>
            <a:gradFill flip="none" rotWithShape="1">
              <a:gsLst>
                <a:gs pos="0">
                  <a:schemeClr val="accent6">
                    <a:lumMod val="40000"/>
                    <a:lumOff val="60000"/>
                  </a:schemeClr>
                </a:gs>
                <a:gs pos="46000">
                  <a:schemeClr val="accent6">
                    <a:lumMod val="95000"/>
                    <a:lumOff val="5000"/>
                  </a:schemeClr>
                </a:gs>
                <a:gs pos="100000">
                  <a:schemeClr val="accent6">
                    <a:lumMod val="60000"/>
                  </a:schemeClr>
                </a:gs>
              </a:gsLst>
              <a:path path="circle">
                <a:fillToRect l="50000" t="130000" r="50000" b="-30000"/>
              </a:path>
              <a:tileRect/>
            </a:gradFill>
            <a:ln>
              <a:noFill/>
            </a:ln>
            <a:effectLst/>
            <a:sp3d/>
          </c:spPr>
          <c:invertIfNegative val="0"/>
          <c:dLbls>
            <c:dLbl>
              <c:idx val="0"/>
              <c:layout>
                <c:manualLayout>
                  <c:x val="5.5555555555555297E-3"/>
                  <c:y val="-2.777777777777780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98A2-4441-BB8E-FC35E9C86CEB}"/>
                </c:ext>
              </c:extLst>
            </c:dLbl>
            <c:dLbl>
              <c:idx val="1"/>
              <c:layout>
                <c:manualLayout>
                  <c:x val="1.9444444444444445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98A2-4441-BB8E-FC35E9C86CEB}"/>
                </c:ext>
              </c:extLst>
            </c:dLbl>
            <c:dLbl>
              <c:idx val="2"/>
              <c:layout>
                <c:manualLayout>
                  <c:x val="5.5555555555555558E-3"/>
                  <c:y val="-9.259259259259343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98A2-4441-BB8E-FC35E9C86CEB}"/>
                </c:ext>
              </c:extLst>
            </c:dLbl>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'4'!$B$47:$B$49</c:f>
              <c:strCache>
                <c:ptCount val="3"/>
                <c:pt idx="0">
                  <c:v> الأراضي المهدّدة بالتصحر (بضمنها الأراضي الصحراوية) </c:v>
                </c:pt>
                <c:pt idx="1">
                  <c:v>الأراضي المتصحرة </c:v>
                </c:pt>
                <c:pt idx="2">
                  <c:v>الكثبان الرملية</c:v>
                </c:pt>
              </c:strCache>
            </c:strRef>
          </c:cat>
          <c:val>
            <c:numRef>
              <c:f>'4'!$C$47:$C$49</c:f>
              <c:numCache>
                <c:formatCode>#,##0.0</c:formatCode>
                <c:ptCount val="3"/>
                <c:pt idx="0">
                  <c:v>55.458087768818444</c:v>
                </c:pt>
                <c:pt idx="1">
                  <c:v>23.20404888439198</c:v>
                </c:pt>
                <c:pt idx="2">
                  <c:v>1.6028238807774702</c:v>
                </c:pt>
              </c:numCache>
            </c:numRef>
          </c:val>
          <c:extLst>
            <c:ext xmlns:c16="http://schemas.microsoft.com/office/drawing/2014/chart" uri="{C3380CC4-5D6E-409C-BE32-E72D297353CC}">
              <c16:uniqueId val="{00000000-98A2-4441-BB8E-FC35E9C86CEB}"/>
            </c:ext>
          </c:extLst>
        </c:ser>
        <c:ser>
          <c:idx val="1"/>
          <c:order val="1"/>
          <c:tx>
            <c:strRef>
              <c:f>'4'!$D$46</c:f>
              <c:strCache>
                <c:ptCount val="1"/>
                <c:pt idx="0">
                  <c:v>2016</c:v>
                </c:pt>
              </c:strCache>
            </c:strRef>
          </c:tx>
          <c:spPr>
            <a:solidFill>
              <a:schemeClr val="accent6">
                <a:lumMod val="40000"/>
                <a:lumOff val="60000"/>
              </a:schemeClr>
            </a:solidFill>
            <a:ln>
              <a:noFill/>
            </a:ln>
            <a:effectLst/>
            <a:sp3d/>
          </c:spPr>
          <c:invertIfNegative val="0"/>
          <c:dLbls>
            <c:dLbl>
              <c:idx val="0"/>
              <c:layout>
                <c:manualLayout>
                  <c:x val="1.6666666666666666E-2"/>
                  <c:y val="-2.314814814814814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98A2-4441-BB8E-FC35E9C86CEB}"/>
                </c:ext>
              </c:extLst>
            </c:dLbl>
            <c:dLbl>
              <c:idx val="1"/>
              <c:layout>
                <c:manualLayout>
                  <c:x val="1.3888888888888888E-2"/>
                  <c:y val="-4.6296296296296294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98A2-4441-BB8E-FC35E9C86CEB}"/>
                </c:ext>
              </c:extLst>
            </c:dLbl>
            <c:dLbl>
              <c:idx val="2"/>
              <c:layout>
                <c:manualLayout>
                  <c:x val="8.3333333333332309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98A2-4441-BB8E-FC35E9C86CEB}"/>
                </c:ext>
              </c:extLst>
            </c:dLbl>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'4'!$B$47:$B$49</c:f>
              <c:strCache>
                <c:ptCount val="3"/>
                <c:pt idx="0">
                  <c:v> الأراضي المهدّدة بالتصحر (بضمنها الأراضي الصحراوية) </c:v>
                </c:pt>
                <c:pt idx="1">
                  <c:v>الأراضي المتصحرة </c:v>
                </c:pt>
                <c:pt idx="2">
                  <c:v>الكثبان الرملية</c:v>
                </c:pt>
              </c:strCache>
            </c:strRef>
          </c:cat>
          <c:val>
            <c:numRef>
              <c:f>'4'!$D$47:$D$49</c:f>
              <c:numCache>
                <c:formatCode>General</c:formatCode>
                <c:ptCount val="3"/>
                <c:pt idx="0">
                  <c:v>54.2</c:v>
                </c:pt>
                <c:pt idx="1">
                  <c:v>15.6</c:v>
                </c:pt>
                <c:pt idx="2">
                  <c:v>2.4</c:v>
                </c:pt>
              </c:numCache>
            </c:numRef>
          </c:val>
          <c:extLst>
            <c:ext xmlns:c16="http://schemas.microsoft.com/office/drawing/2014/chart" uri="{C3380CC4-5D6E-409C-BE32-E72D297353CC}">
              <c16:uniqueId val="{00000001-98A2-4441-BB8E-FC35E9C86CEB}"/>
            </c:ext>
          </c:extLst>
        </c:ser>
        <c:dLbls>
          <c:showLegendKey val="0"/>
          <c:showVal val="0"/>
          <c:showCatName val="0"/>
          <c:showSerName val="0"/>
          <c:showPercent val="0"/>
          <c:showBubbleSize val="0"/>
        </c:dLbls>
        <c:gapWidth val="150"/>
        <c:shape val="box"/>
        <c:axId val="386959760"/>
        <c:axId val="386963368"/>
        <c:axId val="0"/>
      </c:bar3DChart>
      <c:catAx>
        <c:axId val="38695976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86963368"/>
        <c:crosses val="autoZero"/>
        <c:auto val="1"/>
        <c:lblAlgn val="ctr"/>
        <c:lblOffset val="100"/>
        <c:noMultiLvlLbl val="0"/>
      </c:catAx>
      <c:valAx>
        <c:axId val="38696336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38695976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800" b="1"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ar-IQ"/>
            </a:pPr>
            <a:r>
              <a:rPr lang="ar-SA" sz="1000" b="1" i="0" baseline="0">
                <a:effectLst/>
              </a:rPr>
              <a:t>شكل </a:t>
            </a:r>
            <a:r>
              <a:rPr lang="en-US" sz="1000" b="1" i="0" baseline="0">
                <a:effectLst/>
              </a:rPr>
              <a:t> </a:t>
            </a:r>
            <a:r>
              <a:rPr lang="ar-IQ" sz="1000" b="1" i="0" baseline="0">
                <a:effectLst/>
              </a:rPr>
              <a:t>4</a:t>
            </a:r>
            <a:r>
              <a:rPr lang="ar-SA" sz="1000" b="1" i="0" baseline="0">
                <a:effectLst/>
              </a:rPr>
              <a:t>: </a:t>
            </a:r>
            <a:r>
              <a:rPr lang="ar-IQ" sz="1000" b="1" i="0" baseline="0">
                <a:effectLst/>
              </a:rPr>
              <a:t>كمية الأسمدة المجهّزة حسب المحافظة لسنة 2022</a:t>
            </a:r>
            <a:endParaRPr lang="ar-IQ" sz="1000">
              <a:effectLst/>
            </a:endParaRPr>
          </a:p>
        </c:rich>
      </c:tx>
      <c:layout/>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0.13398840769903791"/>
          <c:y val="0.14897018081073282"/>
          <c:w val="0.82156714785651552"/>
          <c:h val="0.63034412365121062"/>
        </c:manualLayout>
      </c:layout>
      <c:bar3DChart>
        <c:barDir val="col"/>
        <c:grouping val="clustered"/>
        <c:varyColors val="0"/>
        <c:ser>
          <c:idx val="0"/>
          <c:order val="0"/>
          <c:spPr>
            <a:gradFill>
              <a:gsLst>
                <a:gs pos="0">
                  <a:srgbClr val="E6DCAC"/>
                </a:gs>
                <a:gs pos="12000">
                  <a:srgbClr val="E6D78A"/>
                </a:gs>
                <a:gs pos="30000">
                  <a:srgbClr val="C7AC4C"/>
                </a:gs>
                <a:gs pos="45000">
                  <a:srgbClr val="E6D78A"/>
                </a:gs>
                <a:gs pos="77000">
                  <a:srgbClr val="C7AC4C"/>
                </a:gs>
                <a:gs pos="100000">
                  <a:srgbClr val="E6DCAC"/>
                </a:gs>
              </a:gsLst>
              <a:lin ang="5400000" scaled="0"/>
            </a:gradFill>
          </c:spPr>
          <c:invertIfNegative val="0"/>
          <c:dLbls>
            <c:dLbl>
              <c:idx val="8"/>
              <c:layout>
                <c:manualLayout>
                  <c:x val="0"/>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47F5-4B0C-8C98-4E53238A54F8}"/>
                </c:ext>
              </c:extLst>
            </c:dLbl>
            <c:spPr>
              <a:noFill/>
              <a:ln>
                <a:noFill/>
              </a:ln>
              <a:effectLst/>
            </c:spPr>
            <c:txPr>
              <a:bodyPr/>
              <a:lstStyle/>
              <a:p>
                <a:pPr>
                  <a:defRPr lang="ar-IQ" sz="700" b="1" i="0" baseline="0">
                    <a:latin typeface="Times New Roman" pitchFamily="18"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'8'!$M$8:$M$22</c:f>
              <c:strCache>
                <c:ptCount val="15"/>
                <c:pt idx="0">
                  <c:v>صلاح الدين</c:v>
                </c:pt>
                <c:pt idx="1">
                  <c:v>الانبار</c:v>
                </c:pt>
                <c:pt idx="2">
                  <c:v>نينوى</c:v>
                </c:pt>
                <c:pt idx="3">
                  <c:v>كركوك</c:v>
                </c:pt>
                <c:pt idx="4">
                  <c:v>واسط</c:v>
                </c:pt>
                <c:pt idx="5">
                  <c:v>المثنى</c:v>
                </c:pt>
                <c:pt idx="6">
                  <c:v>القادسية</c:v>
                </c:pt>
                <c:pt idx="7">
                  <c:v>ميسان</c:v>
                </c:pt>
                <c:pt idx="8">
                  <c:v>النجف</c:v>
                </c:pt>
                <c:pt idx="9">
                  <c:v>بغداد</c:v>
                </c:pt>
                <c:pt idx="10">
                  <c:v>كربلاء</c:v>
                </c:pt>
                <c:pt idx="11">
                  <c:v>ذي قار</c:v>
                </c:pt>
                <c:pt idx="12">
                  <c:v>بابل</c:v>
                </c:pt>
                <c:pt idx="13">
                  <c:v>ديالى</c:v>
                </c:pt>
                <c:pt idx="14">
                  <c:v>البصره</c:v>
                </c:pt>
              </c:strCache>
            </c:strRef>
          </c:cat>
          <c:val>
            <c:numRef>
              <c:f>'8'!$N$8:$N$22</c:f>
              <c:numCache>
                <c:formatCode>0.0</c:formatCode>
                <c:ptCount val="15"/>
                <c:pt idx="0">
                  <c:v>44.521974</c:v>
                </c:pt>
                <c:pt idx="1">
                  <c:v>34.259209999999996</c:v>
                </c:pt>
                <c:pt idx="2">
                  <c:v>27.432441999999998</c:v>
                </c:pt>
                <c:pt idx="3">
                  <c:v>26.403920999999997</c:v>
                </c:pt>
                <c:pt idx="4">
                  <c:v>24.600849000000004</c:v>
                </c:pt>
                <c:pt idx="5">
                  <c:v>12.723321</c:v>
                </c:pt>
                <c:pt idx="6">
                  <c:v>10.518705000000001</c:v>
                </c:pt>
                <c:pt idx="7">
                  <c:v>10.012617000000001</c:v>
                </c:pt>
                <c:pt idx="8">
                  <c:v>8.1507059999999996</c:v>
                </c:pt>
                <c:pt idx="9">
                  <c:v>7.7</c:v>
                </c:pt>
                <c:pt idx="10">
                  <c:v>7.3</c:v>
                </c:pt>
                <c:pt idx="11">
                  <c:v>6.9854760000000002</c:v>
                </c:pt>
                <c:pt idx="12">
                  <c:v>6.9355880000000001</c:v>
                </c:pt>
                <c:pt idx="13">
                  <c:v>5.3549579999999999</c:v>
                </c:pt>
                <c:pt idx="14">
                  <c:v>1.9381400000000002</c:v>
                </c:pt>
              </c:numCache>
            </c:numRef>
          </c:val>
          <c:extLst>
            <c:ext xmlns:c16="http://schemas.microsoft.com/office/drawing/2014/chart" uri="{C3380CC4-5D6E-409C-BE32-E72D297353CC}">
              <c16:uniqueId val="{00000001-47F5-4B0C-8C98-4E53238A54F8}"/>
            </c:ext>
          </c:extLst>
        </c:ser>
        <c:dLbls>
          <c:showLegendKey val="0"/>
          <c:showVal val="0"/>
          <c:showCatName val="0"/>
          <c:showSerName val="0"/>
          <c:showPercent val="0"/>
          <c:showBubbleSize val="0"/>
        </c:dLbls>
        <c:gapWidth val="150"/>
        <c:shape val="box"/>
        <c:axId val="157497344"/>
        <c:axId val="146441920"/>
        <c:axId val="0"/>
      </c:bar3DChart>
      <c:catAx>
        <c:axId val="157497344"/>
        <c:scaling>
          <c:orientation val="minMax"/>
        </c:scaling>
        <c:delete val="0"/>
        <c:axPos val="b"/>
        <c:numFmt formatCode="General" sourceLinked="1"/>
        <c:majorTickMark val="none"/>
        <c:minorTickMark val="none"/>
        <c:tickLblPos val="nextTo"/>
        <c:txPr>
          <a:bodyPr/>
          <a:lstStyle/>
          <a:p>
            <a:pPr>
              <a:defRPr lang="ar-IQ" sz="900" b="1"/>
            </a:pPr>
            <a:endParaRPr lang="en-US"/>
          </a:p>
        </c:txPr>
        <c:crossAx val="146441920"/>
        <c:crosses val="autoZero"/>
        <c:auto val="1"/>
        <c:lblAlgn val="ctr"/>
        <c:lblOffset val="100"/>
        <c:noMultiLvlLbl val="0"/>
      </c:catAx>
      <c:valAx>
        <c:axId val="146441920"/>
        <c:scaling>
          <c:orientation val="minMax"/>
        </c:scaling>
        <c:delete val="0"/>
        <c:axPos val="l"/>
        <c:majorGridlines/>
        <c:numFmt formatCode="0.0" sourceLinked="1"/>
        <c:majorTickMark val="none"/>
        <c:minorTickMark val="none"/>
        <c:tickLblPos val="nextTo"/>
        <c:txPr>
          <a:bodyPr/>
          <a:lstStyle/>
          <a:p>
            <a:pPr>
              <a:defRPr lang="ar-IQ" b="1"/>
            </a:pPr>
            <a:endParaRPr lang="en-US"/>
          </a:p>
        </c:txPr>
        <c:crossAx val="157497344"/>
        <c:crosses val="autoZero"/>
        <c:crossBetween val="between"/>
      </c:valAx>
    </c:plotArea>
    <c:plotVisOnly val="1"/>
    <c:dispBlanksAs val="gap"/>
    <c:showDLblsOverMax val="0"/>
  </c:chart>
  <c:spPr>
    <a:noFill/>
    <a:ln>
      <a:noFill/>
    </a:ln>
    <a:scene3d>
      <a:camera prst="orthographicFront"/>
      <a:lightRig rig="threePt" dir="t"/>
    </a:scene3d>
    <a:sp3d>
      <a:bevelT/>
      <a:bevelB/>
    </a:sp3d>
  </c:spPr>
  <c:printSettings>
    <c:headerFooter/>
    <c:pageMargins b="0.74803149606299413" l="0.70866141732283694" r="0.70866141732283694" t="0.74803149606299413" header="0.31496062992126173" footer="0.31496062992126173"/>
    <c:pageSetup paperSize="9"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ar-IQ"/>
            </a:pPr>
            <a:r>
              <a:rPr lang="ar-IQ" sz="900" b="1" i="0" baseline="0">
                <a:effectLst/>
              </a:rPr>
              <a:t>شكل (5): مساحات المناطق الخطرة الملوثة بـ (أرض مواجهات، ذخائر عنقودية، عبوات ناسفة، ذخائر غير منفجرة) المسجلة في قاعدة البيانات حسب الحالة للمدة من (</a:t>
            </a:r>
            <a:r>
              <a:rPr lang="ar-IQ" sz="900" b="1" i="0" u="none" strike="noStrike" kern="1200" baseline="0">
                <a:solidFill>
                  <a:sysClr val="windowText" lastClr="000000"/>
                </a:solidFill>
                <a:effectLst/>
                <a:latin typeface="+mn-lt"/>
                <a:ea typeface="+mn-ea"/>
                <a:cs typeface="+mn-cs"/>
              </a:rPr>
              <a:t>2004-</a:t>
            </a:r>
            <a:r>
              <a:rPr lang="ar-SA" sz="900" b="1" i="0" u="none" strike="noStrike" kern="1200" baseline="0">
                <a:solidFill>
                  <a:sysClr val="windowText" lastClr="000000"/>
                </a:solidFill>
                <a:effectLst/>
                <a:latin typeface="+mn-lt"/>
                <a:ea typeface="+mn-ea"/>
                <a:cs typeface="+mn-cs"/>
              </a:rPr>
              <a:t>202</a:t>
            </a:r>
            <a:r>
              <a:rPr lang="ar-IQ" sz="900" b="1" i="0" u="none" strike="noStrike" kern="1200" baseline="0">
                <a:solidFill>
                  <a:sysClr val="windowText" lastClr="000000"/>
                </a:solidFill>
                <a:effectLst/>
                <a:latin typeface="+mn-lt"/>
                <a:ea typeface="+mn-ea"/>
                <a:cs typeface="+mn-cs"/>
              </a:rPr>
              <a:t>2</a:t>
            </a:r>
            <a:r>
              <a:rPr lang="ar-IQ" sz="900" b="1" i="0" baseline="0">
                <a:effectLst/>
              </a:rPr>
              <a:t>)</a:t>
            </a:r>
            <a:endParaRPr lang="ar-IQ" sz="900">
              <a:effectLst/>
            </a:endParaRPr>
          </a:p>
        </c:rich>
      </c:tx>
      <c:layout/>
      <c:overlay val="0"/>
      <c:spPr>
        <a:scene3d>
          <a:camera prst="orthographicFront"/>
          <a:lightRig rig="threePt" dir="t"/>
        </a:scene3d>
        <a:sp3d>
          <a:bevelB prst="angle"/>
        </a:sp3d>
      </c:spPr>
    </c:title>
    <c:autoTitleDeleted val="0"/>
    <c:view3D>
      <c:rotX val="15"/>
      <c:rotY val="20"/>
      <c:rAngAx val="1"/>
    </c:view3D>
    <c:floor>
      <c:thickness val="0"/>
    </c:floor>
    <c:sideWall>
      <c:thickness val="0"/>
    </c:sideWall>
    <c:backWall>
      <c:thickness val="0"/>
    </c:backWall>
    <c:plotArea>
      <c:layout>
        <c:manualLayout>
          <c:layoutTarget val="inner"/>
          <c:xMode val="edge"/>
          <c:yMode val="edge"/>
          <c:x val="0.14011109520400858"/>
          <c:y val="0.19954870224555263"/>
          <c:w val="0.83736845621570233"/>
          <c:h val="0.63449475065617045"/>
        </c:manualLayout>
      </c:layout>
      <c:bar3DChart>
        <c:barDir val="col"/>
        <c:grouping val="clustered"/>
        <c:varyColors val="0"/>
        <c:ser>
          <c:idx val="0"/>
          <c:order val="0"/>
          <c:spPr>
            <a:solidFill>
              <a:schemeClr val="bg2">
                <a:lumMod val="50000"/>
              </a:schemeClr>
            </a:solidFill>
          </c:spPr>
          <c:invertIfNegative val="0"/>
          <c:dLbls>
            <c:dLbl>
              <c:idx val="2"/>
              <c:layout>
                <c:manualLayout>
                  <c:x val="9.6969696969697247E-3"/>
                  <c:y val="-4.166666666666666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0AF-42E6-80D9-88EE34922E9E}"/>
                </c:ext>
              </c:extLst>
            </c:dLbl>
            <c:numFmt formatCode="#,##0.0" sourceLinked="0"/>
            <c:spPr>
              <a:noFill/>
              <a:ln>
                <a:noFill/>
              </a:ln>
              <a:effectLst/>
            </c:spPr>
            <c:txPr>
              <a:bodyPr/>
              <a:lstStyle/>
              <a:p>
                <a:pPr>
                  <a:defRPr lang="ar-IQ" sz="700" b="1">
                    <a:latin typeface="Times New Roman" panose="02020603050405020304" pitchFamily="18" charset="0"/>
                    <a:cs typeface="Times New Roman" panose="02020603050405020304" pitchFamily="18"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'9'!$Q$4:$S$4</c:f>
              <c:strCache>
                <c:ptCount val="3"/>
                <c:pt idx="0">
                  <c:v>مغلق (رفع الخطر منها) </c:v>
                </c:pt>
                <c:pt idx="1">
                  <c:v>مفتوح (لازال الخطر قائم) </c:v>
                </c:pt>
                <c:pt idx="2">
                  <c:v> جار العمل     </c:v>
                </c:pt>
              </c:strCache>
            </c:strRef>
          </c:cat>
          <c:val>
            <c:numRef>
              <c:f>'9'!$Q$8:$S$8</c:f>
              <c:numCache>
                <c:formatCode>0.0</c:formatCode>
                <c:ptCount val="3"/>
                <c:pt idx="0">
                  <c:v>3487.6511719999999</c:v>
                </c:pt>
                <c:pt idx="1">
                  <c:v>2159.8701729999998</c:v>
                </c:pt>
                <c:pt idx="2">
                  <c:v>501.35494239175097</c:v>
                </c:pt>
              </c:numCache>
            </c:numRef>
          </c:val>
          <c:extLst>
            <c:ext xmlns:c16="http://schemas.microsoft.com/office/drawing/2014/chart" uri="{C3380CC4-5D6E-409C-BE32-E72D297353CC}">
              <c16:uniqueId val="{00000001-B0AF-42E6-80D9-88EE34922E9E}"/>
            </c:ext>
          </c:extLst>
        </c:ser>
        <c:dLbls>
          <c:showLegendKey val="0"/>
          <c:showVal val="0"/>
          <c:showCatName val="0"/>
          <c:showSerName val="0"/>
          <c:showPercent val="0"/>
          <c:showBubbleSize val="0"/>
        </c:dLbls>
        <c:gapWidth val="150"/>
        <c:shape val="pyramid"/>
        <c:axId val="157448192"/>
        <c:axId val="146443072"/>
        <c:axId val="0"/>
      </c:bar3DChart>
      <c:catAx>
        <c:axId val="157448192"/>
        <c:scaling>
          <c:orientation val="minMax"/>
        </c:scaling>
        <c:delete val="0"/>
        <c:axPos val="b"/>
        <c:numFmt formatCode="General" sourceLinked="0"/>
        <c:majorTickMark val="none"/>
        <c:minorTickMark val="none"/>
        <c:tickLblPos val="nextTo"/>
        <c:txPr>
          <a:bodyPr/>
          <a:lstStyle/>
          <a:p>
            <a:pPr>
              <a:defRPr lang="ar-IQ" sz="800" b="1"/>
            </a:pPr>
            <a:endParaRPr lang="en-US"/>
          </a:p>
        </c:txPr>
        <c:crossAx val="146443072"/>
        <c:crosses val="autoZero"/>
        <c:auto val="1"/>
        <c:lblAlgn val="ctr"/>
        <c:lblOffset val="100"/>
        <c:noMultiLvlLbl val="0"/>
      </c:catAx>
      <c:valAx>
        <c:axId val="146443072"/>
        <c:scaling>
          <c:orientation val="minMax"/>
        </c:scaling>
        <c:delete val="0"/>
        <c:axPos val="l"/>
        <c:majorGridlines/>
        <c:numFmt formatCode="0.0" sourceLinked="1"/>
        <c:majorTickMark val="none"/>
        <c:minorTickMark val="none"/>
        <c:tickLblPos val="nextTo"/>
        <c:txPr>
          <a:bodyPr/>
          <a:lstStyle/>
          <a:p>
            <a:pPr>
              <a:defRPr lang="ar-IQ" sz="800" b="1"/>
            </a:pPr>
            <a:endParaRPr lang="en-US"/>
          </a:p>
        </c:txPr>
        <c:crossAx val="157448192"/>
        <c:crosses val="autoZero"/>
        <c:crossBetween val="between"/>
      </c:valAx>
    </c:plotArea>
    <c:plotVisOnly val="1"/>
    <c:dispBlanksAs val="gap"/>
    <c:showDLblsOverMax val="0"/>
  </c:chart>
  <c:spPr>
    <a:noFill/>
    <a:ln>
      <a:noFill/>
    </a:ln>
    <a:scene3d>
      <a:camera prst="orthographicFront"/>
      <a:lightRig rig="threePt" dir="t"/>
    </a:scene3d>
    <a:sp3d>
      <a:bevelT/>
      <a:bevelB/>
    </a:sp3d>
  </c:spPr>
  <c:printSettings>
    <c:headerFooter/>
    <c:pageMargins b="0.75000000000000211" l="0.70000000000000062" r="0.70000000000000062" t="0.75000000000000211" header="0.30000000000000032" footer="0.30000000000000032"/>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13</xdr:col>
      <xdr:colOff>828675</xdr:colOff>
      <xdr:row>14</xdr:row>
      <xdr:rowOff>9524</xdr:rowOff>
    </xdr:from>
    <xdr:to>
      <xdr:col>25</xdr:col>
      <xdr:colOff>209549</xdr:colOff>
      <xdr:row>23</xdr:row>
      <xdr:rowOff>114300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0.03376</cdr:x>
      <cdr:y>0.42824</cdr:y>
    </cdr:from>
    <cdr:to>
      <cdr:x>0.12096</cdr:x>
      <cdr:y>0.60911</cdr:y>
    </cdr:to>
    <cdr:pic>
      <cdr:nvPicPr>
        <cdr:cNvPr id="2"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rot="16200000">
          <a:off x="193030" y="1263326"/>
          <a:ext cx="530629" cy="516637"/>
        </a:xfrm>
        <a:prstGeom xmlns:a="http://schemas.openxmlformats.org/drawingml/2006/main" prst="rect">
          <a:avLst/>
        </a:prstGeom>
      </cdr:spPr>
    </cdr:pic>
  </cdr:relSizeAnchor>
</c:userShapes>
</file>

<file path=xl/drawings/drawing3.xml><?xml version="1.0" encoding="utf-8"?>
<xdr:wsDr xmlns:xdr="http://schemas.openxmlformats.org/drawingml/2006/spreadsheetDrawing" xmlns:a="http://schemas.openxmlformats.org/drawingml/2006/main">
  <xdr:twoCellAnchor>
    <xdr:from>
      <xdr:col>14</xdr:col>
      <xdr:colOff>142875</xdr:colOff>
      <xdr:row>5</xdr:row>
      <xdr:rowOff>282892</xdr:rowOff>
    </xdr:from>
    <xdr:to>
      <xdr:col>25</xdr:col>
      <xdr:colOff>95251</xdr:colOff>
      <xdr:row>14</xdr:row>
      <xdr:rowOff>41910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23</xdr:col>
      <xdr:colOff>314325</xdr:colOff>
      <xdr:row>10</xdr:row>
      <xdr:rowOff>47625</xdr:rowOff>
    </xdr:from>
    <xdr:to>
      <xdr:col>23</xdr:col>
      <xdr:colOff>533400</xdr:colOff>
      <xdr:row>11</xdr:row>
      <xdr:rowOff>28575</xdr:rowOff>
    </xdr:to>
    <xdr:sp macro="" textlink="">
      <xdr:nvSpPr>
        <xdr:cNvPr id="3" name="TextBox 2"/>
        <xdr:cNvSpPr txBox="1"/>
      </xdr:nvSpPr>
      <xdr:spPr>
        <a:xfrm>
          <a:off x="9973132200" y="3086100"/>
          <a:ext cx="219075"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rtl="1"/>
          <a:r>
            <a:rPr lang="ar-IQ" sz="1100" b="1"/>
            <a:t>%</a:t>
          </a:r>
          <a:endParaRPr lang="en-US"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466725</xdr:colOff>
      <xdr:row>40</xdr:row>
      <xdr:rowOff>385761</xdr:rowOff>
    </xdr:from>
    <xdr:to>
      <xdr:col>8</xdr:col>
      <xdr:colOff>895350</xdr:colOff>
      <xdr:row>53</xdr:row>
      <xdr:rowOff>66674</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0.0334</cdr:x>
      <cdr:y>0.4456</cdr:y>
    </cdr:from>
    <cdr:to>
      <cdr:x>0.07771</cdr:x>
      <cdr:y>0.59838</cdr:y>
    </cdr:to>
    <cdr:sp macro="" textlink="">
      <cdr:nvSpPr>
        <cdr:cNvPr id="2" name="TextBox 2"/>
        <cdr:cNvSpPr txBox="1"/>
      </cdr:nvSpPr>
      <cdr:spPr>
        <a:xfrm xmlns:a="http://schemas.openxmlformats.org/drawingml/2006/main">
          <a:off x="165100" y="1222375"/>
          <a:ext cx="219075" cy="4191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rtl="1"/>
          <a:r>
            <a:rPr lang="ar-IQ" sz="1050" b="1"/>
            <a:t>%</a:t>
          </a:r>
          <a:endParaRPr lang="en-US" sz="1050" b="1"/>
        </a:p>
      </cdr:txBody>
    </cdr:sp>
  </cdr:relSizeAnchor>
</c:userShapes>
</file>

<file path=xl/drawings/drawing6.xml><?xml version="1.0" encoding="utf-8"?>
<xdr:wsDr xmlns:xdr="http://schemas.openxmlformats.org/drawingml/2006/spreadsheetDrawing" xmlns:a="http://schemas.openxmlformats.org/drawingml/2006/main">
  <xdr:twoCellAnchor>
    <xdr:from>
      <xdr:col>16</xdr:col>
      <xdr:colOff>85725</xdr:colOff>
      <xdr:row>9</xdr:row>
      <xdr:rowOff>90487</xdr:rowOff>
    </xdr:from>
    <xdr:to>
      <xdr:col>24</xdr:col>
      <xdr:colOff>228600</xdr:colOff>
      <xdr:row>18</xdr:row>
      <xdr:rowOff>114300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0.02846</cdr:x>
      <cdr:y>0.38651</cdr:y>
    </cdr:from>
    <cdr:to>
      <cdr:x>0.117</cdr:x>
      <cdr:y>0.62421</cdr:y>
    </cdr:to>
    <cdr:sp macro="" textlink="">
      <cdr:nvSpPr>
        <cdr:cNvPr id="2" name="TextBox 2"/>
        <cdr:cNvSpPr txBox="1"/>
      </cdr:nvSpPr>
      <cdr:spPr>
        <a:xfrm xmlns:a="http://schemas.openxmlformats.org/drawingml/2006/main" rot="16200000">
          <a:off x="26048" y="1219439"/>
          <a:ext cx="678096" cy="444442"/>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ar-SA" sz="900" b="1"/>
            <a:t>ألف طن</a:t>
          </a:r>
          <a:endParaRPr lang="ar-IQ" sz="900" b="1"/>
        </a:p>
      </cdr:txBody>
    </cdr:sp>
  </cdr:relSizeAnchor>
</c:userShapes>
</file>

<file path=xl/drawings/drawing8.xml><?xml version="1.0" encoding="utf-8"?>
<xdr:wsDr xmlns:xdr="http://schemas.openxmlformats.org/drawingml/2006/spreadsheetDrawing" xmlns:a="http://schemas.openxmlformats.org/drawingml/2006/main">
  <xdr:twoCellAnchor>
    <xdr:from>
      <xdr:col>16</xdr:col>
      <xdr:colOff>1085850</xdr:colOff>
      <xdr:row>11</xdr:row>
      <xdr:rowOff>80962</xdr:rowOff>
    </xdr:from>
    <xdr:to>
      <xdr:col>24</xdr:col>
      <xdr:colOff>304800</xdr:colOff>
      <xdr:row>21</xdr:row>
      <xdr:rowOff>61912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cdr:x>
      <cdr:y>0.29688</cdr:y>
    </cdr:from>
    <cdr:to>
      <cdr:x>0.06363</cdr:x>
      <cdr:y>0.6426</cdr:y>
    </cdr:to>
    <cdr:sp macro="" textlink="">
      <cdr:nvSpPr>
        <cdr:cNvPr id="2" name="TextBox 1"/>
        <cdr:cNvSpPr txBox="1"/>
      </cdr:nvSpPr>
      <cdr:spPr>
        <a:xfrm xmlns:a="http://schemas.openxmlformats.org/drawingml/2006/main" rot="16200000">
          <a:off x="-587422" y="1882546"/>
          <a:ext cx="1508186" cy="333342"/>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ar-SA" sz="800" b="1"/>
            <a:t>مليون م</a:t>
          </a:r>
          <a:r>
            <a:rPr lang="ar-SA" sz="800" b="1">
              <a:latin typeface="Calibri"/>
            </a:rPr>
            <a:t>²</a:t>
          </a:r>
          <a:endParaRPr lang="ar-IQ" sz="800" b="1"/>
        </a:p>
      </cdr:txBody>
    </cdr:sp>
  </cdr:relSizeAnchor>
</c:userShape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10.xml.rels><?xml version="1.0" encoding="UTF-8" standalone="yes"?>
<Relationships xmlns="http://schemas.openxmlformats.org/package/2006/relationships"><Relationship Id="rId1" Type="http://schemas.openxmlformats.org/officeDocument/2006/relationships/pivotCacheRecords" Target="pivotCacheRecords10.xml"/></Relationships>
</file>

<file path=xl/pivotCache/_rels/pivotCacheDefinition11.xml.rels><?xml version="1.0" encoding="UTF-8" standalone="yes"?>
<Relationships xmlns="http://schemas.openxmlformats.org/package/2006/relationships"><Relationship Id="rId1" Type="http://schemas.openxmlformats.org/officeDocument/2006/relationships/pivotCacheRecords" Target="pivotCacheRecords11.xml"/></Relationships>
</file>

<file path=xl/pivotCache/_rels/pivotCacheDefinition12.xml.rels><?xml version="1.0" encoding="UTF-8" standalone="yes"?>
<Relationships xmlns="http://schemas.openxmlformats.org/package/2006/relationships"><Relationship Id="rId1" Type="http://schemas.openxmlformats.org/officeDocument/2006/relationships/pivotCacheRecords" Target="pivotCacheRecords12.xml"/></Relationships>
</file>

<file path=xl/pivotCache/_rels/pivotCacheDefinition13.xml.rels><?xml version="1.0" encoding="UTF-8" standalone="yes"?>
<Relationships xmlns="http://schemas.openxmlformats.org/package/2006/relationships"><Relationship Id="rId1" Type="http://schemas.openxmlformats.org/officeDocument/2006/relationships/pivotCacheRecords" Target="pivotCacheRecords13.xml"/></Relationships>
</file>

<file path=xl/pivotCache/_rels/pivotCacheDefinition14.xml.rels><?xml version="1.0" encoding="UTF-8" standalone="yes"?>
<Relationships xmlns="http://schemas.openxmlformats.org/package/2006/relationships"><Relationship Id="rId1" Type="http://schemas.openxmlformats.org/officeDocument/2006/relationships/pivotCacheRecords" Target="pivotCacheRecords14.xml"/></Relationships>
</file>

<file path=xl/pivotCache/_rels/pivotCacheDefinition15.xml.rels><?xml version="1.0" encoding="UTF-8" standalone="yes"?>
<Relationships xmlns="http://schemas.openxmlformats.org/package/2006/relationships"><Relationship Id="rId1" Type="http://schemas.openxmlformats.org/officeDocument/2006/relationships/pivotCacheRecords" Target="pivotCacheRecords15.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1" Type="http://schemas.openxmlformats.org/officeDocument/2006/relationships/pivotCacheRecords" Target="pivotCacheRecords4.xml"/></Relationships>
</file>

<file path=xl/pivotCache/_rels/pivotCacheDefinition5.xml.rels><?xml version="1.0" encoding="UTF-8" standalone="yes"?>
<Relationships xmlns="http://schemas.openxmlformats.org/package/2006/relationships"><Relationship Id="rId1" Type="http://schemas.openxmlformats.org/officeDocument/2006/relationships/pivotCacheRecords" Target="pivotCacheRecords5.xml"/></Relationships>
</file>

<file path=xl/pivotCache/_rels/pivotCacheDefinition6.xml.rels><?xml version="1.0" encoding="UTF-8" standalone="yes"?>
<Relationships xmlns="http://schemas.openxmlformats.org/package/2006/relationships"><Relationship Id="rId1" Type="http://schemas.openxmlformats.org/officeDocument/2006/relationships/pivotCacheRecords" Target="pivotCacheRecords6.xml"/></Relationships>
</file>

<file path=xl/pivotCache/_rels/pivotCacheDefinition7.xml.rels><?xml version="1.0" encoding="UTF-8" standalone="yes"?>
<Relationships xmlns="http://schemas.openxmlformats.org/package/2006/relationships"><Relationship Id="rId1" Type="http://schemas.openxmlformats.org/officeDocument/2006/relationships/pivotCacheRecords" Target="pivotCacheRecords7.xml"/></Relationships>
</file>

<file path=xl/pivotCache/_rels/pivotCacheDefinition8.xml.rels><?xml version="1.0" encoding="UTF-8" standalone="yes"?>
<Relationships xmlns="http://schemas.openxmlformats.org/package/2006/relationships"><Relationship Id="rId1" Type="http://schemas.openxmlformats.org/officeDocument/2006/relationships/pivotCacheRecords" Target="pivotCacheRecords8.xml"/></Relationships>
</file>

<file path=xl/pivotCache/_rels/pivotCacheDefinition9.xml.rels><?xml version="1.0" encoding="UTF-8" standalone="yes"?>
<Relationships xmlns="http://schemas.openxmlformats.org/package/2006/relationships"><Relationship Id="rId1" Type="http://schemas.openxmlformats.org/officeDocument/2006/relationships/pivotCacheRecords" Target="pivotCacheRecords9.xml"/></Relationships>
</file>

<file path=xl/pivotCache/pivotCacheDefinition1.xml><?xml version="1.0" encoding="utf-8"?>
<pivotCacheDefinition xmlns="http://schemas.openxmlformats.org/spreadsheetml/2006/main" xmlns:r="http://schemas.openxmlformats.org/officeDocument/2006/relationships" r:id="rId1" refreshedBy="DELL" refreshedDate="44377.483493287036" createdVersion="4" refreshedVersion="4" minRefreshableVersion="3" recordCount="8">
  <cacheSource type="worksheet">
    <worksheetSource ref="A173:D181" sheet="كمية المبيدات تفصيلي"/>
  </cacheSource>
  <cacheFields count="4">
    <cacheField name="المحافظة" numFmtId="0">
      <sharedItems containsBlank="1"/>
    </cacheField>
    <cacheField name="نوع المبيد" numFmtId="0">
      <sharedItems count="5">
        <s v="حشري"/>
        <s v="لا حشري"/>
        <s v="فطري" u="1"/>
        <s v="ادغال" u="1"/>
        <s v="قوارض" u="1"/>
      </sharedItems>
    </cacheField>
    <cacheField name="الكمية (لتر)" numFmtId="0">
      <sharedItems containsString="0" containsBlank="1" containsNumber="1" containsInteger="1" minValue="200" maxValue="477"/>
    </cacheField>
    <cacheField name="الكمية (كغم)" numFmtId="0">
      <sharedItems containsString="0" containsBlank="1" containsNumber="1" containsInteger="1" minValue="35" maxValue="980"/>
    </cacheField>
  </cacheFields>
  <extLst>
    <ext xmlns:x14="http://schemas.microsoft.com/office/spreadsheetml/2009/9/main" uri="{725AE2AE-9491-48be-B2B4-4EB974FC3084}">
      <x14:pivotCacheDefinition/>
    </ext>
  </extLst>
</pivotCacheDefinition>
</file>

<file path=xl/pivotCache/pivotCacheDefinition10.xml><?xml version="1.0" encoding="utf-8"?>
<pivotCacheDefinition xmlns="http://schemas.openxmlformats.org/spreadsheetml/2006/main" xmlns:r="http://schemas.openxmlformats.org/officeDocument/2006/relationships" r:id="rId1" refreshedBy="DELL" refreshedDate="44377.486515972225" createdVersion="4" refreshedVersion="4" minRefreshableVersion="3" recordCount="8">
  <cacheSource type="worksheet">
    <worksheetSource ref="A88:D96" sheet="كمية المبيدات تفصيلي"/>
  </cacheSource>
  <cacheFields count="4">
    <cacheField name="المحافظة" numFmtId="0">
      <sharedItems containsBlank="1"/>
    </cacheField>
    <cacheField name="نوع المبيد" numFmtId="0">
      <sharedItems count="6">
        <s v="حشري"/>
        <s v="لا حشري"/>
        <s v="فطري"/>
        <s v="عناكب" u="1"/>
        <s v="ادغال" u="1"/>
        <s v="قوارض" u="1"/>
      </sharedItems>
    </cacheField>
    <cacheField name="الكمية (لتر)" numFmtId="0">
      <sharedItems containsString="0" containsBlank="1" containsNumber="1" containsInteger="1" minValue="50" maxValue="710"/>
    </cacheField>
    <cacheField name="الكمية (كغم)" numFmtId="0">
      <sharedItems containsString="0" containsBlank="1" containsNumber="1" containsInteger="1" minValue="210" maxValue="485"/>
    </cacheField>
  </cacheFields>
  <extLst>
    <ext xmlns:x14="http://schemas.microsoft.com/office/spreadsheetml/2009/9/main" uri="{725AE2AE-9491-48be-B2B4-4EB974FC3084}">
      <x14:pivotCacheDefinition/>
    </ext>
  </extLst>
</pivotCacheDefinition>
</file>

<file path=xl/pivotCache/pivotCacheDefinition11.xml><?xml version="1.0" encoding="utf-8"?>
<pivotCacheDefinition xmlns="http://schemas.openxmlformats.org/spreadsheetml/2006/main" xmlns:r="http://schemas.openxmlformats.org/officeDocument/2006/relationships" r:id="rId1" refreshedBy="DELL" refreshedDate="44377.486686574077" createdVersion="4" refreshedVersion="4" minRefreshableVersion="3" recordCount="21">
  <cacheSource type="worksheet">
    <worksheetSource ref="A65:D86" sheet="كمية المبيدات تفصيلي"/>
  </cacheSource>
  <cacheFields count="4">
    <cacheField name="المحافظة" numFmtId="0">
      <sharedItems/>
    </cacheField>
    <cacheField name="نوع المبيد" numFmtId="0">
      <sharedItems count="6">
        <s v="حشري"/>
        <s v="لا حشري"/>
        <s v="فطري"/>
        <s v="عناكب" u="1"/>
        <s v="ادغال" u="1"/>
        <s v="قوارض" u="1"/>
      </sharedItems>
    </cacheField>
    <cacheField name="الكمية (لتر)" numFmtId="0">
      <sharedItems containsString="0" containsBlank="1" containsNumber="1" containsInteger="1" minValue="1" maxValue="3568"/>
    </cacheField>
    <cacheField name="الكمية (كغم)" numFmtId="0">
      <sharedItems containsString="0" containsBlank="1" containsNumber="1" containsInteger="1" minValue="15" maxValue="410"/>
    </cacheField>
  </cacheFields>
  <extLst>
    <ext xmlns:x14="http://schemas.microsoft.com/office/spreadsheetml/2009/9/main" uri="{725AE2AE-9491-48be-B2B4-4EB974FC3084}">
      <x14:pivotCacheDefinition/>
    </ext>
  </extLst>
</pivotCacheDefinition>
</file>

<file path=xl/pivotCache/pivotCacheDefinition12.xml><?xml version="1.0" encoding="utf-8"?>
<pivotCacheDefinition xmlns="http://schemas.openxmlformats.org/spreadsheetml/2006/main" xmlns:r="http://schemas.openxmlformats.org/officeDocument/2006/relationships" r:id="rId1" refreshedBy="DELL" refreshedDate="44377.486859143515" createdVersion="4" refreshedVersion="4" minRefreshableVersion="3" recordCount="23">
  <cacheSource type="worksheet">
    <worksheetSource ref="A40:D63" sheet="كمية المبيدات تفصيلي"/>
  </cacheSource>
  <cacheFields count="4">
    <cacheField name="المحافظة" numFmtId="0">
      <sharedItems containsBlank="1"/>
    </cacheField>
    <cacheField name="نوع المبيد" numFmtId="0">
      <sharedItems count="7">
        <s v="حشري"/>
        <s v="لا حشري"/>
        <s v="فطري"/>
        <s v="امراض" u="1"/>
        <s v="عناكب" u="1"/>
        <s v="ادغال" u="1"/>
        <s v="قوارض" u="1"/>
      </sharedItems>
    </cacheField>
    <cacheField name="الكمية (لتر)" numFmtId="0">
      <sharedItems containsString="0" containsBlank="1" containsNumber="1" containsInteger="1" minValue="40" maxValue="600"/>
    </cacheField>
    <cacheField name="الكمية (كغم)" numFmtId="0">
      <sharedItems containsString="0" containsBlank="1" containsNumber="1" containsInteger="1" minValue="25" maxValue="385"/>
    </cacheField>
  </cacheFields>
  <extLst>
    <ext xmlns:x14="http://schemas.microsoft.com/office/spreadsheetml/2009/9/main" uri="{725AE2AE-9491-48be-B2B4-4EB974FC3084}">
      <x14:pivotCacheDefinition/>
    </ext>
  </extLst>
</pivotCacheDefinition>
</file>

<file path=xl/pivotCache/pivotCacheDefinition13.xml><?xml version="1.0" encoding="utf-8"?>
<pivotCacheDefinition xmlns="http://schemas.openxmlformats.org/spreadsheetml/2006/main" xmlns:r="http://schemas.openxmlformats.org/officeDocument/2006/relationships" r:id="rId1" refreshedBy="DELL" refreshedDate="44377.488429861114" createdVersion="4" refreshedVersion="4" minRefreshableVersion="3" recordCount="8">
  <cacheSource type="worksheet">
    <worksheetSource ref="A30:D38" sheet="كمية المبيدات تفصيلي"/>
  </cacheSource>
  <cacheFields count="4">
    <cacheField name="المحافظة" numFmtId="0">
      <sharedItems/>
    </cacheField>
    <cacheField name="نوع المبيد" numFmtId="0">
      <sharedItems count="6">
        <s v="حشري"/>
        <s v="لا حشري"/>
        <s v="عناكب" u="1"/>
        <s v="فطري" u="1"/>
        <s v="ادغال" u="1"/>
        <s v="قوارض" u="1"/>
      </sharedItems>
    </cacheField>
    <cacheField name="الكمية (لتر)" numFmtId="0">
      <sharedItems containsString="0" containsBlank="1" containsNumber="1" containsInteger="1" minValue="20" maxValue="440"/>
    </cacheField>
    <cacheField name="الكمية (كغم)" numFmtId="0">
      <sharedItems containsString="0" containsBlank="1" containsNumber="1" containsInteger="1" minValue="205" maxValue="375"/>
    </cacheField>
  </cacheFields>
  <extLst>
    <ext xmlns:x14="http://schemas.microsoft.com/office/spreadsheetml/2009/9/main" uri="{725AE2AE-9491-48be-B2B4-4EB974FC3084}">
      <x14:pivotCacheDefinition/>
    </ext>
  </extLst>
</pivotCacheDefinition>
</file>

<file path=xl/pivotCache/pivotCacheDefinition14.xml><?xml version="1.0" encoding="utf-8"?>
<pivotCacheDefinition xmlns="http://schemas.openxmlformats.org/spreadsheetml/2006/main" xmlns:r="http://schemas.openxmlformats.org/officeDocument/2006/relationships" r:id="rId1" refreshedBy="DELL" refreshedDate="44377.48927002315" createdVersion="4" refreshedVersion="4" minRefreshableVersion="3" recordCount="11">
  <cacheSource type="worksheet">
    <worksheetSource ref="A16:D27" sheet="كمية المبيدات تفصيلي"/>
  </cacheSource>
  <cacheFields count="4">
    <cacheField name="المحافظة" numFmtId="0">
      <sharedItems/>
    </cacheField>
    <cacheField name="نوع المبيد" numFmtId="0">
      <sharedItems count="3">
        <s v="حشري"/>
        <s v="لا حشري"/>
        <s v="فطري"/>
      </sharedItems>
    </cacheField>
    <cacheField name="الكمية (لتر)" numFmtId="0">
      <sharedItems containsString="0" containsBlank="1" containsNumber="1" minValue="15" maxValue="170"/>
    </cacheField>
    <cacheField name="الكمية (كغم)" numFmtId="0">
      <sharedItems containsString="0" containsBlank="1" containsNumber="1" containsInteger="1" minValue="80" maxValue="125"/>
    </cacheField>
  </cacheFields>
  <extLst>
    <ext xmlns:x14="http://schemas.microsoft.com/office/spreadsheetml/2009/9/main" uri="{725AE2AE-9491-48be-B2B4-4EB974FC3084}">
      <x14:pivotCacheDefinition/>
    </ext>
  </extLst>
</pivotCacheDefinition>
</file>

<file path=xl/pivotCache/pivotCacheDefinition15.xml><?xml version="1.0" encoding="utf-8"?>
<pivotCacheDefinition xmlns="http://schemas.openxmlformats.org/spreadsheetml/2006/main" xmlns:r="http://schemas.openxmlformats.org/officeDocument/2006/relationships" r:id="rId1" refreshedBy="DELL" refreshedDate="44377.490145833333" createdVersion="4" refreshedVersion="4" minRefreshableVersion="3" recordCount="13">
  <cacheSource type="worksheet">
    <worksheetSource ref="A1:D14" sheet="كمية المبيدات تفصيلي"/>
  </cacheSource>
  <cacheFields count="4">
    <cacheField name="المحافظة" numFmtId="0">
      <sharedItems/>
    </cacheField>
    <cacheField name="نوع المبيد" numFmtId="0">
      <sharedItems count="6">
        <s v="حشري"/>
        <s v="لا حشري"/>
        <s v="فطري"/>
        <s v="عناكب" u="1"/>
        <s v="ادغال" u="1"/>
        <s v="قوارض" u="1"/>
      </sharedItems>
    </cacheField>
    <cacheField name="الكمية (لتر)" numFmtId="0">
      <sharedItems containsString="0" containsBlank="1" containsNumber="1" containsInteger="1" minValue="13" maxValue="648"/>
    </cacheField>
    <cacheField name="الكمية (كغم)" numFmtId="0">
      <sharedItems containsString="0" containsBlank="1" containsNumber="1" containsInteger="1" minValue="50" maxValue="2000"/>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DELL" refreshedDate="44377.483945023145" createdVersion="4" refreshedVersion="4" minRefreshableVersion="3" recordCount="6">
  <cacheSource type="worksheet">
    <worksheetSource ref="A238:D244" sheet="كمية المبيدات تفصيلي"/>
  </cacheSource>
  <cacheFields count="4">
    <cacheField name="المحافظة" numFmtId="0">
      <sharedItems containsBlank="1"/>
    </cacheField>
    <cacheField name="نوع المبيد" numFmtId="0">
      <sharedItems count="3">
        <s v="حشري"/>
        <s v="لا حشري"/>
        <s v="فطري"/>
      </sharedItems>
    </cacheField>
    <cacheField name="الكمية (لتر)" numFmtId="0">
      <sharedItems containsString="0" containsBlank="1" containsNumber="1" containsInteger="1" minValue="125" maxValue="6884"/>
    </cacheField>
    <cacheField name="الكمية (كغم)" numFmtId="0">
      <sharedItems containsString="0" containsBlank="1" containsNumber="1" containsInteger="1" minValue="540" maxValue="540"/>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r:id="rId1" refreshedBy="DELL" refreshedDate="44377.484045833335" createdVersion="4" refreshedVersion="4" minRefreshableVersion="3" recordCount="13">
  <cacheSource type="worksheet">
    <worksheetSource ref="A223:D236" sheet="كمية المبيدات تفصيلي"/>
  </cacheSource>
  <cacheFields count="4">
    <cacheField name="المحافظة" numFmtId="0">
      <sharedItems containsBlank="1"/>
    </cacheField>
    <cacheField name="نوع المبيد" numFmtId="0">
      <sharedItems count="6">
        <s v="حشري"/>
        <s v="لا حشري"/>
        <s v="فطري"/>
        <s v="عناكب" u="1"/>
        <s v="ادغال" u="1"/>
        <s v="قوارض" u="1"/>
      </sharedItems>
    </cacheField>
    <cacheField name="الكمية (لتر)" numFmtId="0">
      <sharedItems containsString="0" containsBlank="1" containsNumber="1" containsInteger="1" minValue="15" maxValue="500"/>
    </cacheField>
    <cacheField name="الكمية (كغم)" numFmtId="0">
      <sharedItems containsString="0" containsBlank="1" containsNumber="1" containsInteger="1" minValue="5" maxValue="250"/>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r:id="rId1" refreshedBy="DELL" refreshedDate="44377.48409189815" createdVersion="4" refreshedVersion="4" minRefreshableVersion="3" recordCount="18">
  <cacheSource type="worksheet">
    <worksheetSource ref="A203:D221" sheet="كمية المبيدات تفصيلي"/>
  </cacheSource>
  <cacheFields count="4">
    <cacheField name="المحافظة" numFmtId="0">
      <sharedItems containsBlank="1"/>
    </cacheField>
    <cacheField name="نوع المبيد" numFmtId="0">
      <sharedItems count="6">
        <s v="حشري"/>
        <s v="لا حشري"/>
        <s v="فطري"/>
        <s v="عناكب" u="1"/>
        <s v="ادغال" u="1"/>
        <s v="قوارض" u="1"/>
      </sharedItems>
    </cacheField>
    <cacheField name="الكمية (لتر)" numFmtId="0">
      <sharedItems containsString="0" containsBlank="1" containsNumber="1" containsInteger="1" minValue="25" maxValue="845"/>
    </cacheField>
    <cacheField name="الكمية (كغم)" numFmtId="0">
      <sharedItems containsString="0" containsBlank="1" containsNumber="1" containsInteger="1" minValue="50" maxValue="835"/>
    </cacheField>
  </cacheFields>
  <extLst>
    <ext xmlns:x14="http://schemas.microsoft.com/office/spreadsheetml/2009/9/main" uri="{725AE2AE-9491-48be-B2B4-4EB974FC3084}">
      <x14:pivotCacheDefinition/>
    </ext>
  </extLst>
</pivotCacheDefinition>
</file>

<file path=xl/pivotCache/pivotCacheDefinition5.xml><?xml version="1.0" encoding="utf-8"?>
<pivotCacheDefinition xmlns="http://schemas.openxmlformats.org/spreadsheetml/2006/main" xmlns:r="http://schemas.openxmlformats.org/officeDocument/2006/relationships" r:id="rId1" refreshedBy="DELL" refreshedDate="44377.485116666663" createdVersion="4" refreshedVersion="4" minRefreshableVersion="3" recordCount="18">
  <cacheSource type="worksheet">
    <worksheetSource ref="A183:D201" sheet="كمية المبيدات تفصيلي"/>
  </cacheSource>
  <cacheFields count="4">
    <cacheField name="المحافظة" numFmtId="0">
      <sharedItems containsBlank="1"/>
    </cacheField>
    <cacheField name="نوع المبيد" numFmtId="0">
      <sharedItems containsBlank="1" count="7">
        <s v="حشري"/>
        <s v="لا حشري"/>
        <s v="فطري"/>
        <m u="1"/>
        <s v="عناكب" u="1"/>
        <s v="ادغال" u="1"/>
        <s v="قوارض" u="1"/>
      </sharedItems>
    </cacheField>
    <cacheField name="الكمية (لتر)" numFmtId="0">
      <sharedItems containsString="0" containsBlank="1" containsNumber="1" containsInteger="1" minValue="40" maxValue="760"/>
    </cacheField>
    <cacheField name="الكمية (كغم)" numFmtId="0">
      <sharedItems containsString="0" containsBlank="1" containsNumber="1" containsInteger="1" minValue="350" maxValue="630"/>
    </cacheField>
  </cacheFields>
  <extLst>
    <ext xmlns:x14="http://schemas.microsoft.com/office/spreadsheetml/2009/9/main" uri="{725AE2AE-9491-48be-B2B4-4EB974FC3084}">
      <x14:pivotCacheDefinition/>
    </ext>
  </extLst>
</pivotCacheDefinition>
</file>

<file path=xl/pivotCache/pivotCacheDefinition6.xml><?xml version="1.0" encoding="utf-8"?>
<pivotCacheDefinition xmlns="http://schemas.openxmlformats.org/spreadsheetml/2006/main" xmlns:r="http://schemas.openxmlformats.org/officeDocument/2006/relationships" r:id="rId1" refreshedBy="DELL" refreshedDate="44377.486014814815" createdVersion="4" refreshedVersion="4" minRefreshableVersion="3" recordCount="17">
  <cacheSource type="worksheet">
    <worksheetSource ref="A154:D171" sheet="كمية المبيدات تفصيلي"/>
  </cacheSource>
  <cacheFields count="4">
    <cacheField name="المحافظة" numFmtId="0">
      <sharedItems containsBlank="1"/>
    </cacheField>
    <cacheField name="نوع المبيد" numFmtId="0">
      <sharedItems count="6">
        <s v="حشري"/>
        <s v="لا حشري"/>
        <s v="فطري"/>
        <s v="عناكب" u="1"/>
        <s v="ادغال" u="1"/>
        <s v="قوارض" u="1"/>
      </sharedItems>
    </cacheField>
    <cacheField name="الكمية (لتر)" numFmtId="0">
      <sharedItems containsString="0" containsBlank="1" containsNumber="1" containsInteger="1" minValue="15" maxValue="700"/>
    </cacheField>
    <cacheField name="الكمية (كغم)" numFmtId="0">
      <sharedItems containsString="0" containsBlank="1" containsNumber="1" containsInteger="1" minValue="250" maxValue="260"/>
    </cacheField>
  </cacheFields>
  <extLst>
    <ext xmlns:x14="http://schemas.microsoft.com/office/spreadsheetml/2009/9/main" uri="{725AE2AE-9491-48be-B2B4-4EB974FC3084}">
      <x14:pivotCacheDefinition/>
    </ext>
  </extLst>
</pivotCacheDefinition>
</file>

<file path=xl/pivotCache/pivotCacheDefinition7.xml><?xml version="1.0" encoding="utf-8"?>
<pivotCacheDefinition xmlns="http://schemas.openxmlformats.org/spreadsheetml/2006/main" xmlns:r="http://schemas.openxmlformats.org/officeDocument/2006/relationships" r:id="rId1" refreshedBy="DELL" refreshedDate="44377.486214583332" createdVersion="4" refreshedVersion="4" minRefreshableVersion="3" recordCount="16">
  <cacheSource type="worksheet">
    <worksheetSource ref="A134:D150" sheet="كمية المبيدات تفصيلي"/>
  </cacheSource>
  <cacheFields count="4">
    <cacheField name="المحافظة" numFmtId="0">
      <sharedItems containsBlank="1"/>
    </cacheField>
    <cacheField name="نوع المبيد" numFmtId="0">
      <sharedItems count="3">
        <s v="حشري"/>
        <s v="لا حشري"/>
        <s v="فطري"/>
      </sharedItems>
    </cacheField>
    <cacheField name="الكمية (لتر)" numFmtId="0">
      <sharedItems containsString="0" containsBlank="1" containsNumber="1" containsInteger="1" minValue="45" maxValue="3075"/>
    </cacheField>
    <cacheField name="الكمية (كغم)" numFmtId="0">
      <sharedItems containsString="0" containsBlank="1" containsNumber="1" containsInteger="1" minValue="85" maxValue="125"/>
    </cacheField>
  </cacheFields>
  <extLst>
    <ext xmlns:x14="http://schemas.microsoft.com/office/spreadsheetml/2009/9/main" uri="{725AE2AE-9491-48be-B2B4-4EB974FC3084}">
      <x14:pivotCacheDefinition/>
    </ext>
  </extLst>
</pivotCacheDefinition>
</file>

<file path=xl/pivotCache/pivotCacheDefinition8.xml><?xml version="1.0" encoding="utf-8"?>
<pivotCacheDefinition xmlns="http://schemas.openxmlformats.org/spreadsheetml/2006/main" xmlns:r="http://schemas.openxmlformats.org/officeDocument/2006/relationships" r:id="rId1" refreshedBy="DELL" refreshedDate="44377.486327314815" createdVersion="4" refreshedVersion="4" minRefreshableVersion="3" recordCount="12">
  <cacheSource type="worksheet">
    <worksheetSource ref="A120:D132" sheet="كمية المبيدات تفصيلي"/>
  </cacheSource>
  <cacheFields count="4">
    <cacheField name="المحافظة" numFmtId="0">
      <sharedItems containsBlank="1"/>
    </cacheField>
    <cacheField name="نوع المبيد" numFmtId="0">
      <sharedItems count="6">
        <s v="حشري"/>
        <s v="لا حشري"/>
        <s v="فطري"/>
        <s v="عناكب" u="1"/>
        <s v="ادغال" u="1"/>
        <s v="قوارض" u="1"/>
      </sharedItems>
    </cacheField>
    <cacheField name="الكمية (لتر)" numFmtId="0">
      <sharedItems containsString="0" containsBlank="1" containsNumber="1" containsInteger="1" minValue="40" maxValue="590"/>
    </cacheField>
    <cacheField name="الكمية (كغم)" numFmtId="0">
      <sharedItems containsString="0" containsBlank="1" containsNumber="1" containsInteger="1" minValue="50" maxValue="155"/>
    </cacheField>
  </cacheFields>
  <extLst>
    <ext xmlns:x14="http://schemas.microsoft.com/office/spreadsheetml/2009/9/main" uri="{725AE2AE-9491-48be-B2B4-4EB974FC3084}">
      <x14:pivotCacheDefinition/>
    </ext>
  </extLst>
</pivotCacheDefinition>
</file>

<file path=xl/pivotCache/pivotCacheDefinition9.xml><?xml version="1.0" encoding="utf-8"?>
<pivotCacheDefinition xmlns="http://schemas.openxmlformats.org/spreadsheetml/2006/main" xmlns:r="http://schemas.openxmlformats.org/officeDocument/2006/relationships" r:id="rId1" refreshedBy="DELL" refreshedDate="44377.486463425928" createdVersion="4" refreshedVersion="4" minRefreshableVersion="3" recordCount="20">
  <cacheSource type="worksheet">
    <worksheetSource ref="A98:D118" sheet="كمية المبيدات تفصيلي"/>
  </cacheSource>
  <cacheFields count="4">
    <cacheField name="المحافظة" numFmtId="0">
      <sharedItems containsBlank="1"/>
    </cacheField>
    <cacheField name="نوع المبيد" numFmtId="0">
      <sharedItems count="6">
        <s v="حشري"/>
        <s v="لا حشري"/>
        <s v="فطري"/>
        <s v="عناكب" u="1"/>
        <s v="قوارض" u="1"/>
        <s v="ادغال" u="1"/>
      </sharedItems>
    </cacheField>
    <cacheField name="الكمية (لتر)" numFmtId="0">
      <sharedItems containsString="0" containsBlank="1" containsNumber="1" containsInteger="1" minValue="40" maxValue="1680"/>
    </cacheField>
    <cacheField name="الكمية (كغم)" numFmtId="0">
      <sharedItems containsString="0" containsBlank="1" containsNumber="1" containsInteger="1" minValue="35" maxValue="54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8">
  <r>
    <s v="كركوك"/>
    <x v="0"/>
    <n v="310"/>
    <m/>
  </r>
  <r>
    <m/>
    <x v="0"/>
    <n v="477"/>
    <m/>
  </r>
  <r>
    <m/>
    <x v="0"/>
    <n v="375"/>
    <m/>
  </r>
  <r>
    <m/>
    <x v="0"/>
    <n v="200"/>
    <m/>
  </r>
  <r>
    <m/>
    <x v="0"/>
    <n v="250"/>
    <m/>
  </r>
  <r>
    <m/>
    <x v="0"/>
    <m/>
    <n v="35"/>
  </r>
  <r>
    <m/>
    <x v="1"/>
    <m/>
    <n v="980"/>
  </r>
  <r>
    <m/>
    <x v="1"/>
    <m/>
    <n v="310"/>
  </r>
</pivotCacheRecords>
</file>

<file path=xl/pivotCache/pivotCacheRecords10.xml><?xml version="1.0" encoding="utf-8"?>
<pivotCacheRecords xmlns="http://schemas.openxmlformats.org/spreadsheetml/2006/main" xmlns:r="http://schemas.openxmlformats.org/officeDocument/2006/relationships" count="8">
  <r>
    <s v="ذي قار"/>
    <x v="0"/>
    <n v="710"/>
    <m/>
  </r>
  <r>
    <m/>
    <x v="0"/>
    <n v="50"/>
    <m/>
  </r>
  <r>
    <m/>
    <x v="1"/>
    <n v="235"/>
    <m/>
  </r>
  <r>
    <m/>
    <x v="1"/>
    <m/>
    <n v="485"/>
  </r>
  <r>
    <m/>
    <x v="1"/>
    <m/>
    <n v="210"/>
  </r>
  <r>
    <m/>
    <x v="2"/>
    <n v="250"/>
    <m/>
  </r>
  <r>
    <m/>
    <x v="2"/>
    <n v="253"/>
    <m/>
  </r>
  <r>
    <m/>
    <x v="2"/>
    <n v="170"/>
    <m/>
  </r>
</pivotCacheRecords>
</file>

<file path=xl/pivotCache/pivotCacheRecords11.xml><?xml version="1.0" encoding="utf-8"?>
<pivotCacheRecords xmlns="http://schemas.openxmlformats.org/spreadsheetml/2006/main" xmlns:r="http://schemas.openxmlformats.org/officeDocument/2006/relationships" count="21">
  <r>
    <s v="واسط"/>
    <x v="0"/>
    <n v="590"/>
    <m/>
  </r>
  <r>
    <s v="واسط"/>
    <x v="0"/>
    <n v="420"/>
    <m/>
  </r>
  <r>
    <s v="واسط"/>
    <x v="0"/>
    <m/>
    <n v="15"/>
  </r>
  <r>
    <s v="واسط"/>
    <x v="0"/>
    <n v="225"/>
    <m/>
  </r>
  <r>
    <s v="واسط"/>
    <x v="0"/>
    <n v="175"/>
    <m/>
  </r>
  <r>
    <s v="واسط"/>
    <x v="0"/>
    <n v="85"/>
    <m/>
  </r>
  <r>
    <s v="واسط"/>
    <x v="0"/>
    <n v="225"/>
    <m/>
  </r>
  <r>
    <s v="واسط"/>
    <x v="0"/>
    <n v="115"/>
    <m/>
  </r>
  <r>
    <s v="واسط"/>
    <x v="0"/>
    <n v="601"/>
    <m/>
  </r>
  <r>
    <s v="واسط"/>
    <x v="0"/>
    <n v="270"/>
    <m/>
  </r>
  <r>
    <s v="واسط"/>
    <x v="0"/>
    <n v="1"/>
    <m/>
  </r>
  <r>
    <s v="واسط"/>
    <x v="0"/>
    <n v="100"/>
    <m/>
  </r>
  <r>
    <s v="واسط"/>
    <x v="0"/>
    <n v="300"/>
    <m/>
  </r>
  <r>
    <s v="واسط"/>
    <x v="0"/>
    <n v="150"/>
    <m/>
  </r>
  <r>
    <s v="واسط"/>
    <x v="0"/>
    <n v="25"/>
    <m/>
  </r>
  <r>
    <s v="واسط"/>
    <x v="1"/>
    <n v="120"/>
    <m/>
  </r>
  <r>
    <s v="واسط"/>
    <x v="1"/>
    <m/>
    <n v="410"/>
  </r>
  <r>
    <s v="واسط"/>
    <x v="1"/>
    <m/>
    <n v="175"/>
  </r>
  <r>
    <s v="واسط"/>
    <x v="2"/>
    <n v="3568"/>
    <m/>
  </r>
  <r>
    <s v="واسط"/>
    <x v="2"/>
    <n v="405"/>
    <m/>
  </r>
  <r>
    <s v="واسط"/>
    <x v="2"/>
    <n v="270"/>
    <m/>
  </r>
</pivotCacheRecords>
</file>

<file path=xl/pivotCache/pivotCacheRecords12.xml><?xml version="1.0" encoding="utf-8"?>
<pivotCacheRecords xmlns="http://schemas.openxmlformats.org/spreadsheetml/2006/main" xmlns:r="http://schemas.openxmlformats.org/officeDocument/2006/relationships" count="23">
  <r>
    <s v="بغداد"/>
    <x v="0"/>
    <n v="180"/>
    <m/>
  </r>
  <r>
    <m/>
    <x v="0"/>
    <n v="40"/>
    <m/>
  </r>
  <r>
    <m/>
    <x v="0"/>
    <n v="65"/>
    <m/>
  </r>
  <r>
    <m/>
    <x v="0"/>
    <n v="65"/>
    <m/>
  </r>
  <r>
    <m/>
    <x v="0"/>
    <n v="65"/>
    <m/>
  </r>
  <r>
    <m/>
    <x v="0"/>
    <n v="155"/>
    <m/>
  </r>
  <r>
    <m/>
    <x v="0"/>
    <n v="85"/>
    <m/>
  </r>
  <r>
    <m/>
    <x v="0"/>
    <n v="518"/>
    <m/>
  </r>
  <r>
    <m/>
    <x v="0"/>
    <n v="301"/>
    <m/>
  </r>
  <r>
    <m/>
    <x v="0"/>
    <n v="600"/>
    <m/>
  </r>
  <r>
    <m/>
    <x v="0"/>
    <n v="55"/>
    <m/>
  </r>
  <r>
    <m/>
    <x v="0"/>
    <n v="250"/>
    <m/>
  </r>
  <r>
    <m/>
    <x v="0"/>
    <n v="85"/>
    <m/>
  </r>
  <r>
    <m/>
    <x v="0"/>
    <m/>
    <n v="25"/>
  </r>
  <r>
    <m/>
    <x v="1"/>
    <n v="195"/>
    <m/>
  </r>
  <r>
    <m/>
    <x v="1"/>
    <m/>
    <n v="385"/>
  </r>
  <r>
    <m/>
    <x v="1"/>
    <m/>
    <n v="210"/>
  </r>
  <r>
    <m/>
    <x v="2"/>
    <n v="342"/>
    <m/>
  </r>
  <r>
    <m/>
    <x v="2"/>
    <n v="105"/>
    <m/>
  </r>
  <r>
    <m/>
    <x v="2"/>
    <n v="70"/>
    <m/>
  </r>
  <r>
    <m/>
    <x v="2"/>
    <n v="430"/>
    <m/>
  </r>
  <r>
    <m/>
    <x v="2"/>
    <n v="265"/>
    <m/>
  </r>
  <r>
    <m/>
    <x v="2"/>
    <n v="175"/>
    <m/>
  </r>
</pivotCacheRecords>
</file>

<file path=xl/pivotCache/pivotCacheRecords13.xml><?xml version="1.0" encoding="utf-8"?>
<pivotCacheRecords xmlns="http://schemas.openxmlformats.org/spreadsheetml/2006/main" xmlns:r="http://schemas.openxmlformats.org/officeDocument/2006/relationships" count="8">
  <r>
    <s v="المثنى"/>
    <x v="0"/>
    <n v="440"/>
    <m/>
  </r>
  <r>
    <s v="المثنى"/>
    <x v="0"/>
    <n v="20"/>
    <m/>
  </r>
  <r>
    <s v="المثنى"/>
    <x v="0"/>
    <n v="90"/>
    <m/>
  </r>
  <r>
    <s v="المثنى"/>
    <x v="0"/>
    <n v="255"/>
    <m/>
  </r>
  <r>
    <s v="المثنى"/>
    <x v="0"/>
    <n v="275"/>
    <m/>
  </r>
  <r>
    <s v="المثنى"/>
    <x v="1"/>
    <n v="235"/>
    <m/>
  </r>
  <r>
    <s v="المثنى"/>
    <x v="1"/>
    <m/>
    <n v="375"/>
  </r>
  <r>
    <s v="المثنى"/>
    <x v="1"/>
    <m/>
    <n v="205"/>
  </r>
</pivotCacheRecords>
</file>

<file path=xl/pivotCache/pivotCacheRecords14.xml><?xml version="1.0" encoding="utf-8"?>
<pivotCacheRecords xmlns="http://schemas.openxmlformats.org/spreadsheetml/2006/main" xmlns:r="http://schemas.openxmlformats.org/officeDocument/2006/relationships" count="11">
  <r>
    <s v="ميسان"/>
    <x v="0"/>
    <n v="130"/>
    <m/>
  </r>
  <r>
    <s v="ميسان"/>
    <x v="0"/>
    <n v="15"/>
    <m/>
  </r>
  <r>
    <s v="ميسان"/>
    <x v="0"/>
    <n v="25"/>
    <m/>
  </r>
  <r>
    <s v="ميسان"/>
    <x v="0"/>
    <n v="45.5"/>
    <m/>
  </r>
  <r>
    <s v="ميسان"/>
    <x v="0"/>
    <n v="30"/>
    <m/>
  </r>
  <r>
    <s v="ميسان"/>
    <x v="1"/>
    <n v="60"/>
    <m/>
  </r>
  <r>
    <s v="ميسان"/>
    <x v="2"/>
    <n v="50"/>
    <m/>
  </r>
  <r>
    <s v="ميسان"/>
    <x v="2"/>
    <n v="170"/>
    <m/>
  </r>
  <r>
    <s v="ميسان"/>
    <x v="2"/>
    <n v="115"/>
    <m/>
  </r>
  <r>
    <s v="ميسان"/>
    <x v="1"/>
    <m/>
    <n v="80"/>
  </r>
  <r>
    <s v="ميسان"/>
    <x v="1"/>
    <m/>
    <n v="125"/>
  </r>
</pivotCacheRecords>
</file>

<file path=xl/pivotCache/pivotCacheRecords15.xml><?xml version="1.0" encoding="utf-8"?>
<pivotCacheRecords xmlns="http://schemas.openxmlformats.org/spreadsheetml/2006/main" xmlns:r="http://schemas.openxmlformats.org/officeDocument/2006/relationships" count="13">
  <r>
    <s v="البصرة"/>
    <x v="0"/>
    <n v="648"/>
    <m/>
  </r>
  <r>
    <s v="البصرة"/>
    <x v="0"/>
    <n v="13"/>
    <m/>
  </r>
  <r>
    <s v="البصرة"/>
    <x v="0"/>
    <n v="20"/>
    <m/>
  </r>
  <r>
    <s v="البصرة"/>
    <x v="0"/>
    <n v="17"/>
    <m/>
  </r>
  <r>
    <s v="البصرة"/>
    <x v="0"/>
    <m/>
    <n v="300"/>
  </r>
  <r>
    <s v="البصرة"/>
    <x v="0"/>
    <n v="23"/>
    <m/>
  </r>
  <r>
    <s v="البصرة"/>
    <x v="0"/>
    <n v="100"/>
    <m/>
  </r>
  <r>
    <s v="البصرة"/>
    <x v="0"/>
    <m/>
    <n v="2000"/>
  </r>
  <r>
    <s v="البصرة"/>
    <x v="1"/>
    <n v="280"/>
    <m/>
  </r>
  <r>
    <s v="البصرة"/>
    <x v="1"/>
    <m/>
    <n v="50"/>
  </r>
  <r>
    <s v="البصرة"/>
    <x v="1"/>
    <m/>
    <n v="75"/>
  </r>
  <r>
    <s v="البصرة"/>
    <x v="2"/>
    <n v="425"/>
    <m/>
  </r>
  <r>
    <s v="البصرة"/>
    <x v="2"/>
    <n v="280"/>
    <m/>
  </r>
</pivotCacheRecords>
</file>

<file path=xl/pivotCache/pivotCacheRecords2.xml><?xml version="1.0" encoding="utf-8"?>
<pivotCacheRecords xmlns="http://schemas.openxmlformats.org/spreadsheetml/2006/main" xmlns:r="http://schemas.openxmlformats.org/officeDocument/2006/relationships" count="6">
  <r>
    <s v="نينوى"/>
    <x v="0"/>
    <n v="125"/>
    <m/>
  </r>
  <r>
    <m/>
    <x v="0"/>
    <n v="3000"/>
    <m/>
  </r>
  <r>
    <m/>
    <x v="0"/>
    <n v="2390"/>
    <m/>
  </r>
  <r>
    <m/>
    <x v="0"/>
    <n v="1400"/>
    <m/>
  </r>
  <r>
    <m/>
    <x v="1"/>
    <m/>
    <n v="540"/>
  </r>
  <r>
    <m/>
    <x v="2"/>
    <n v="6884"/>
    <m/>
  </r>
</pivotCacheRecords>
</file>

<file path=xl/pivotCache/pivotCacheRecords3.xml><?xml version="1.0" encoding="utf-8"?>
<pivotCacheRecords xmlns="http://schemas.openxmlformats.org/spreadsheetml/2006/main" xmlns:r="http://schemas.openxmlformats.org/officeDocument/2006/relationships" count="13">
  <r>
    <s v="القادسية"/>
    <x v="0"/>
    <n v="300"/>
    <m/>
  </r>
  <r>
    <m/>
    <x v="0"/>
    <n v="15"/>
    <m/>
  </r>
  <r>
    <m/>
    <x v="0"/>
    <n v="85"/>
    <m/>
  </r>
  <r>
    <m/>
    <x v="0"/>
    <n v="70"/>
    <m/>
  </r>
  <r>
    <m/>
    <x v="0"/>
    <n v="225"/>
    <m/>
  </r>
  <r>
    <m/>
    <x v="0"/>
    <n v="500"/>
    <m/>
  </r>
  <r>
    <m/>
    <x v="0"/>
    <n v="163"/>
    <m/>
  </r>
  <r>
    <m/>
    <x v="0"/>
    <m/>
    <n v="5"/>
  </r>
  <r>
    <m/>
    <x v="1"/>
    <n v="80"/>
    <m/>
  </r>
  <r>
    <m/>
    <x v="1"/>
    <m/>
    <n v="250"/>
  </r>
  <r>
    <m/>
    <x v="1"/>
    <m/>
    <n v="140"/>
  </r>
  <r>
    <m/>
    <x v="2"/>
    <n v="240"/>
    <m/>
  </r>
  <r>
    <m/>
    <x v="2"/>
    <n v="160"/>
    <m/>
  </r>
</pivotCacheRecords>
</file>

<file path=xl/pivotCache/pivotCacheRecords4.xml><?xml version="1.0" encoding="utf-8"?>
<pivotCacheRecords xmlns="http://schemas.openxmlformats.org/spreadsheetml/2006/main" xmlns:r="http://schemas.openxmlformats.org/officeDocument/2006/relationships" count="18">
  <r>
    <s v="كربلاء"/>
    <x v="0"/>
    <n v="65"/>
    <m/>
  </r>
  <r>
    <m/>
    <x v="0"/>
    <n v="95"/>
    <m/>
  </r>
  <r>
    <m/>
    <x v="0"/>
    <n v="75"/>
    <m/>
  </r>
  <r>
    <m/>
    <x v="0"/>
    <n v="25"/>
    <m/>
  </r>
  <r>
    <m/>
    <x v="0"/>
    <n v="47"/>
    <m/>
  </r>
  <r>
    <m/>
    <x v="0"/>
    <n v="30"/>
    <m/>
  </r>
  <r>
    <m/>
    <x v="0"/>
    <n v="350"/>
    <m/>
  </r>
  <r>
    <m/>
    <x v="0"/>
    <n v="100"/>
    <m/>
  </r>
  <r>
    <m/>
    <x v="0"/>
    <n v="100"/>
    <m/>
  </r>
  <r>
    <m/>
    <x v="0"/>
    <n v="400"/>
    <m/>
  </r>
  <r>
    <m/>
    <x v="0"/>
    <n v="250"/>
    <m/>
  </r>
  <r>
    <m/>
    <x v="0"/>
    <n v="110"/>
    <m/>
  </r>
  <r>
    <m/>
    <x v="0"/>
    <m/>
    <n v="50"/>
  </r>
  <r>
    <m/>
    <x v="1"/>
    <n v="180"/>
    <m/>
  </r>
  <r>
    <m/>
    <x v="1"/>
    <m/>
    <n v="680"/>
  </r>
  <r>
    <m/>
    <x v="1"/>
    <m/>
    <n v="835"/>
  </r>
  <r>
    <m/>
    <x v="2"/>
    <n v="845"/>
    <m/>
  </r>
  <r>
    <m/>
    <x v="2"/>
    <n v="561"/>
    <m/>
  </r>
</pivotCacheRecords>
</file>

<file path=xl/pivotCache/pivotCacheRecords5.xml><?xml version="1.0" encoding="utf-8"?>
<pivotCacheRecords xmlns="http://schemas.openxmlformats.org/spreadsheetml/2006/main" xmlns:r="http://schemas.openxmlformats.org/officeDocument/2006/relationships" count="18">
  <r>
    <s v="النجف"/>
    <x v="0"/>
    <n v="150"/>
    <m/>
  </r>
  <r>
    <m/>
    <x v="0"/>
    <n v="250"/>
    <m/>
  </r>
  <r>
    <m/>
    <x v="0"/>
    <n v="200"/>
    <m/>
  </r>
  <r>
    <m/>
    <x v="0"/>
    <n v="197"/>
    <m/>
  </r>
  <r>
    <m/>
    <x v="0"/>
    <n v="500"/>
    <m/>
  </r>
  <r>
    <m/>
    <x v="0"/>
    <n v="200"/>
    <m/>
  </r>
  <r>
    <m/>
    <x v="0"/>
    <n v="53"/>
    <m/>
  </r>
  <r>
    <m/>
    <x v="0"/>
    <n v="40"/>
    <m/>
  </r>
  <r>
    <m/>
    <x v="0"/>
    <n v="300"/>
    <m/>
  </r>
  <r>
    <m/>
    <x v="0"/>
    <n v="50"/>
    <m/>
  </r>
  <r>
    <m/>
    <x v="0"/>
    <n v="100"/>
    <m/>
  </r>
  <r>
    <m/>
    <x v="0"/>
    <n v="410"/>
    <m/>
  </r>
  <r>
    <m/>
    <x v="1"/>
    <n v="185"/>
    <m/>
  </r>
  <r>
    <m/>
    <x v="1"/>
    <m/>
    <n v="350"/>
  </r>
  <r>
    <m/>
    <x v="1"/>
    <m/>
    <n v="630"/>
  </r>
  <r>
    <m/>
    <x v="2"/>
    <n v="760"/>
    <m/>
  </r>
  <r>
    <m/>
    <x v="2"/>
    <n v="270"/>
    <m/>
  </r>
  <r>
    <m/>
    <x v="2"/>
    <n v="180"/>
    <m/>
  </r>
</pivotCacheRecords>
</file>

<file path=xl/pivotCache/pivotCacheRecords6.xml><?xml version="1.0" encoding="utf-8"?>
<pivotCacheRecords xmlns="http://schemas.openxmlformats.org/spreadsheetml/2006/main" xmlns:r="http://schemas.openxmlformats.org/officeDocument/2006/relationships" count="17">
  <r>
    <s v="ديالى"/>
    <x v="0"/>
    <n v="300"/>
    <m/>
  </r>
  <r>
    <m/>
    <x v="0"/>
    <n v="15"/>
    <m/>
  </r>
  <r>
    <m/>
    <x v="0"/>
    <n v="700"/>
    <m/>
  </r>
  <r>
    <m/>
    <x v="0"/>
    <n v="500"/>
    <m/>
  </r>
  <r>
    <m/>
    <x v="0"/>
    <n v="60"/>
    <m/>
  </r>
  <r>
    <m/>
    <x v="0"/>
    <n v="141"/>
    <m/>
  </r>
  <r>
    <m/>
    <x v="0"/>
    <n v="75"/>
    <m/>
  </r>
  <r>
    <m/>
    <x v="0"/>
    <n v="463"/>
    <m/>
  </r>
  <r>
    <m/>
    <x v="0"/>
    <n v="100"/>
    <m/>
  </r>
  <r>
    <m/>
    <x v="0"/>
    <n v="200"/>
    <m/>
  </r>
  <r>
    <m/>
    <x v="0"/>
    <n v="150"/>
    <m/>
  </r>
  <r>
    <m/>
    <x v="0"/>
    <n v="120"/>
    <m/>
  </r>
  <r>
    <m/>
    <x v="1"/>
    <n v="130"/>
    <m/>
  </r>
  <r>
    <m/>
    <x v="1"/>
    <m/>
    <n v="250"/>
  </r>
  <r>
    <m/>
    <x v="1"/>
    <m/>
    <n v="260"/>
  </r>
  <r>
    <m/>
    <x v="2"/>
    <n v="235"/>
    <m/>
  </r>
  <r>
    <m/>
    <x v="2"/>
    <n v="160"/>
    <m/>
  </r>
</pivotCacheRecords>
</file>

<file path=xl/pivotCache/pivotCacheRecords7.xml><?xml version="1.0" encoding="utf-8"?>
<pivotCacheRecords xmlns="http://schemas.openxmlformats.org/spreadsheetml/2006/main" xmlns:r="http://schemas.openxmlformats.org/officeDocument/2006/relationships" count="16">
  <r>
    <s v="صلاح الدين"/>
    <x v="0"/>
    <n v="110"/>
    <m/>
  </r>
  <r>
    <m/>
    <x v="0"/>
    <n v="45"/>
    <m/>
  </r>
  <r>
    <m/>
    <x v="0"/>
    <n v="700"/>
    <m/>
  </r>
  <r>
    <m/>
    <x v="0"/>
    <n v="550"/>
    <m/>
  </r>
  <r>
    <m/>
    <x v="0"/>
    <n v="90"/>
    <m/>
  </r>
  <r>
    <m/>
    <x v="0"/>
    <n v="246"/>
    <m/>
  </r>
  <r>
    <m/>
    <x v="0"/>
    <n v="120"/>
    <m/>
  </r>
  <r>
    <m/>
    <x v="0"/>
    <n v="180"/>
    <m/>
  </r>
  <r>
    <m/>
    <x v="0"/>
    <n v="126"/>
    <m/>
  </r>
  <r>
    <m/>
    <x v="0"/>
    <n v="335"/>
    <m/>
  </r>
  <r>
    <m/>
    <x v="1"/>
    <n v="75"/>
    <m/>
  </r>
  <r>
    <m/>
    <x v="1"/>
    <m/>
    <n v="85"/>
  </r>
  <r>
    <m/>
    <x v="1"/>
    <m/>
    <n v="125"/>
  </r>
  <r>
    <m/>
    <x v="2"/>
    <n v="3075"/>
    <m/>
  </r>
  <r>
    <m/>
    <x v="2"/>
    <n v="90"/>
    <m/>
  </r>
  <r>
    <m/>
    <x v="2"/>
    <n v="135"/>
    <m/>
  </r>
</pivotCacheRecords>
</file>

<file path=xl/pivotCache/pivotCacheRecords8.xml><?xml version="1.0" encoding="utf-8"?>
<pivotCacheRecords xmlns="http://schemas.openxmlformats.org/spreadsheetml/2006/main" xmlns:r="http://schemas.openxmlformats.org/officeDocument/2006/relationships" count="12">
  <r>
    <s v="الانبار"/>
    <x v="0"/>
    <n v="590"/>
    <m/>
  </r>
  <r>
    <m/>
    <x v="0"/>
    <n v="110"/>
    <m/>
  </r>
  <r>
    <m/>
    <x v="0"/>
    <n v="40"/>
    <m/>
  </r>
  <r>
    <m/>
    <x v="0"/>
    <n v="78"/>
    <m/>
  </r>
  <r>
    <m/>
    <x v="0"/>
    <n v="45"/>
    <m/>
  </r>
  <r>
    <m/>
    <x v="0"/>
    <m/>
    <n v="50"/>
  </r>
  <r>
    <m/>
    <x v="0"/>
    <n v="150"/>
    <m/>
  </r>
  <r>
    <m/>
    <x v="1"/>
    <n v="175"/>
    <m/>
  </r>
  <r>
    <m/>
    <x v="1"/>
    <m/>
    <n v="85"/>
  </r>
  <r>
    <m/>
    <x v="1"/>
    <m/>
    <n v="155"/>
  </r>
  <r>
    <m/>
    <x v="2"/>
    <n v="405"/>
    <m/>
  </r>
  <r>
    <m/>
    <x v="2"/>
    <n v="270"/>
    <m/>
  </r>
</pivotCacheRecords>
</file>

<file path=xl/pivotCache/pivotCacheRecords9.xml><?xml version="1.0" encoding="utf-8"?>
<pivotCacheRecords xmlns="http://schemas.openxmlformats.org/spreadsheetml/2006/main" xmlns:r="http://schemas.openxmlformats.org/officeDocument/2006/relationships" count="20">
  <r>
    <s v="بابل"/>
    <x v="0"/>
    <n v="710"/>
    <m/>
  </r>
  <r>
    <m/>
    <x v="0"/>
    <n v="270"/>
    <m/>
  </r>
  <r>
    <m/>
    <x v="0"/>
    <n v="400"/>
    <m/>
  </r>
  <r>
    <m/>
    <x v="0"/>
    <n v="300"/>
    <m/>
  </r>
  <r>
    <m/>
    <x v="0"/>
    <n v="60"/>
    <m/>
  </r>
  <r>
    <m/>
    <x v="0"/>
    <n v="141"/>
    <m/>
  </r>
  <r>
    <m/>
    <x v="0"/>
    <n v="135"/>
    <m/>
  </r>
  <r>
    <m/>
    <x v="0"/>
    <n v="194"/>
    <m/>
  </r>
  <r>
    <m/>
    <x v="0"/>
    <n v="40"/>
    <m/>
  </r>
  <r>
    <m/>
    <x v="0"/>
    <n v="700"/>
    <m/>
  </r>
  <r>
    <m/>
    <x v="0"/>
    <n v="100"/>
    <m/>
  </r>
  <r>
    <m/>
    <x v="0"/>
    <n v="250"/>
    <m/>
  </r>
  <r>
    <m/>
    <x v="0"/>
    <m/>
    <n v="35"/>
  </r>
  <r>
    <m/>
    <x v="0"/>
    <n v="120"/>
    <m/>
  </r>
  <r>
    <m/>
    <x v="1"/>
    <n v="290"/>
    <m/>
  </r>
  <r>
    <m/>
    <x v="1"/>
    <m/>
    <n v="540"/>
  </r>
  <r>
    <m/>
    <x v="1"/>
    <m/>
    <n v="410"/>
  </r>
  <r>
    <m/>
    <x v="2"/>
    <n v="470"/>
    <m/>
  </r>
  <r>
    <m/>
    <x v="2"/>
    <n v="1680"/>
    <m/>
  </r>
  <r>
    <m/>
    <x v="2"/>
    <n v="1620"/>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14.xml"/></Relationships>
</file>

<file path=xl/pivotTables/_rels/pivotTable11.xml.rels><?xml version="1.0" encoding="UTF-8" standalone="yes"?>
<Relationships xmlns="http://schemas.openxmlformats.org/package/2006/relationships"><Relationship Id="rId1" Type="http://schemas.openxmlformats.org/officeDocument/2006/relationships/pivotCacheDefinition" Target="../pivotCache/pivotCacheDefinition6.xml"/></Relationships>
</file>

<file path=xl/pivotTables/_rels/pivotTable12.xml.rels><?xml version="1.0" encoding="UTF-8" standalone="yes"?>
<Relationships xmlns="http://schemas.openxmlformats.org/package/2006/relationships"><Relationship Id="rId1" Type="http://schemas.openxmlformats.org/officeDocument/2006/relationships/pivotCacheDefinition" Target="../pivotCache/pivotCacheDefinition13.xml"/></Relationships>
</file>

<file path=xl/pivotTables/_rels/pivotTable1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14.xml.rels><?xml version="1.0" encoding="UTF-8" standalone="yes"?>
<Relationships xmlns="http://schemas.openxmlformats.org/package/2006/relationships"><Relationship Id="rId1" Type="http://schemas.openxmlformats.org/officeDocument/2006/relationships/pivotCacheDefinition" Target="../pivotCache/pivotCacheDefinition9.xml"/></Relationships>
</file>

<file path=xl/pivotTables/_rels/pivotTable15.xml.rels><?xml version="1.0" encoding="UTF-8" standalone="yes"?>
<Relationships xmlns="http://schemas.openxmlformats.org/package/2006/relationships"><Relationship Id="rId1" Type="http://schemas.openxmlformats.org/officeDocument/2006/relationships/pivotCacheDefinition" Target="../pivotCache/pivotCacheDefinition8.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5.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0.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2.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7.xml"/></Relationships>
</file>

<file path=xl/pivotTables/pivotTable1.xml><?xml version="1.0" encoding="utf-8"?>
<pivotTableDefinition xmlns="http://schemas.openxmlformats.org/spreadsheetml/2006/main" name="PivotTable11"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E173:G176" firstHeaderRow="0" firstDataRow="1" firstDataCol="1"/>
  <pivotFields count="4">
    <pivotField showAll="0"/>
    <pivotField axis="axisRow" showAll="0">
      <items count="6">
        <item m="1" x="3"/>
        <item x="0"/>
        <item m="1" x="2"/>
        <item m="1" x="4"/>
        <item x="1"/>
        <item t="default"/>
      </items>
    </pivotField>
    <pivotField dataField="1" showAll="0"/>
    <pivotField dataField="1" showAll="0"/>
  </pivotFields>
  <rowFields count="1">
    <field x="1"/>
  </rowFields>
  <rowItems count="3">
    <i>
      <x v="1"/>
    </i>
    <i>
      <x v="4"/>
    </i>
    <i t="grand">
      <x/>
    </i>
  </rowItems>
  <colFields count="1">
    <field x="-2"/>
  </colFields>
  <colItems count="2">
    <i>
      <x/>
    </i>
    <i i="1">
      <x v="1"/>
    </i>
  </colItems>
  <dataFields count="2">
    <dataField name="الكمية ( كغم)" fld="3" baseField="1" baseItem="0"/>
    <dataField name=" الكمية (لتر)" fld="2" baseField="1" baseItem="0"/>
  </dataFields>
  <formats count="1">
    <format dxfId="0">
      <pivotArea collapsedLevelsAreSubtotals="1" fieldPosition="0">
        <references count="2">
          <reference field="4294967294" count="1" selected="0">
            <x v="0"/>
          </reference>
          <reference field="1" count="1">
            <x v="3"/>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10.xml><?xml version="1.0" encoding="utf-8"?>
<pivotTableDefinition xmlns="http://schemas.openxmlformats.org/spreadsheetml/2006/main" name="PivotTable2" cacheId="13"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E17:G21" firstHeaderRow="0" firstDataRow="1" firstDataCol="1"/>
  <pivotFields count="4">
    <pivotField showAll="0"/>
    <pivotField axis="axisRow" showAll="0">
      <items count="4">
        <item x="0"/>
        <item x="2"/>
        <item x="1"/>
        <item t="default"/>
      </items>
    </pivotField>
    <pivotField dataField="1" showAll="0"/>
    <pivotField dataField="1" showAll="0"/>
  </pivotFields>
  <rowFields count="1">
    <field x="1"/>
  </rowFields>
  <rowItems count="4">
    <i>
      <x/>
    </i>
    <i>
      <x v="1"/>
    </i>
    <i>
      <x v="2"/>
    </i>
    <i t="grand">
      <x/>
    </i>
  </rowItems>
  <colFields count="1">
    <field x="-2"/>
  </colFields>
  <colItems count="2">
    <i>
      <x/>
    </i>
    <i i="1">
      <x v="1"/>
    </i>
  </colItems>
  <dataFields count="2">
    <dataField name=" الكمية (كغم)" fld="3" baseField="1" baseItem="0"/>
    <dataField name=" الكمية (لتر)" fld="2" baseField="1"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11.xml><?xml version="1.0" encoding="utf-8"?>
<pivotTableDefinition xmlns="http://schemas.openxmlformats.org/spreadsheetml/2006/main" name="PivotTable10" cacheId="5"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E154:G158" firstHeaderRow="0" firstDataRow="1" firstDataCol="1"/>
  <pivotFields count="4">
    <pivotField showAll="0"/>
    <pivotField axis="axisRow" showAll="0">
      <items count="7">
        <item m="1" x="4"/>
        <item x="0"/>
        <item m="1" x="3"/>
        <item x="2"/>
        <item m="1" x="5"/>
        <item x="1"/>
        <item t="default"/>
      </items>
    </pivotField>
    <pivotField dataField="1" showAll="0"/>
    <pivotField dataField="1" showAll="0"/>
  </pivotFields>
  <rowFields count="1">
    <field x="1"/>
  </rowFields>
  <rowItems count="4">
    <i>
      <x v="1"/>
    </i>
    <i>
      <x v="3"/>
    </i>
    <i>
      <x v="5"/>
    </i>
    <i t="grand">
      <x/>
    </i>
  </rowItems>
  <colFields count="1">
    <field x="-2"/>
  </colFields>
  <colItems count="2">
    <i>
      <x/>
    </i>
    <i i="1">
      <x v="1"/>
    </i>
  </colItems>
  <dataFields count="2">
    <dataField name=" الكمية (كغم)" fld="3" baseField="1" baseItem="0"/>
    <dataField name=" الكمية (لتر)" fld="2" baseField="1" baseItem="0"/>
  </dataFields>
  <formats count="2">
    <format dxfId="14">
      <pivotArea collapsedLevelsAreSubtotals="1" fieldPosition="0">
        <references count="2">
          <reference field="4294967294" count="1" selected="0">
            <x v="1"/>
          </reference>
          <reference field="1" count="1">
            <x v="2"/>
          </reference>
        </references>
      </pivotArea>
    </format>
    <format dxfId="13">
      <pivotArea collapsedLevelsAreSubtotals="1" fieldPosition="0">
        <references count="2">
          <reference field="4294967294" count="1" selected="0">
            <x v="0"/>
          </reference>
          <reference field="1" count="1">
            <x v="4"/>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12.xml><?xml version="1.0" encoding="utf-8"?>
<pivotTableDefinition xmlns="http://schemas.openxmlformats.org/spreadsheetml/2006/main" name="PivotTable3" cacheId="12"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E30:G33" firstHeaderRow="0" firstDataRow="1" firstDataCol="1"/>
  <pivotFields count="4">
    <pivotField showAll="0"/>
    <pivotField axis="axisRow" showAll="0">
      <items count="7">
        <item m="1" x="4"/>
        <item x="0"/>
        <item m="1" x="2"/>
        <item m="1" x="3"/>
        <item m="1" x="5"/>
        <item x="1"/>
        <item t="default"/>
      </items>
    </pivotField>
    <pivotField dataField="1" showAll="0"/>
    <pivotField dataField="1" showAll="0"/>
  </pivotFields>
  <rowFields count="1">
    <field x="1"/>
  </rowFields>
  <rowItems count="3">
    <i>
      <x v="1"/>
    </i>
    <i>
      <x v="5"/>
    </i>
    <i t="grand">
      <x/>
    </i>
  </rowItems>
  <colFields count="1">
    <field x="-2"/>
  </colFields>
  <colItems count="2">
    <i>
      <x/>
    </i>
    <i i="1">
      <x v="1"/>
    </i>
  </colItems>
  <dataFields count="2">
    <dataField name=" الكمية (كغم)" fld="3" baseField="1" baseItem="0"/>
    <dataField name=" الكمية (لتر)" fld="2" baseField="1" baseItem="0"/>
  </dataFields>
  <formats count="2">
    <format dxfId="16">
      <pivotArea collapsedLevelsAreSubtotals="1" fieldPosition="0">
        <references count="2">
          <reference field="4294967294" count="1" selected="0">
            <x v="1"/>
          </reference>
          <reference field="1" count="1">
            <x v="2"/>
          </reference>
        </references>
      </pivotArea>
    </format>
    <format dxfId="15">
      <pivotArea collapsedLevelsAreSubtotals="1" fieldPosition="0">
        <references count="2">
          <reference field="4294967294" count="1" selected="0">
            <x v="0"/>
          </reference>
          <reference field="1" count="1">
            <x v="4"/>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13.xml><?xml version="1.0" encoding="utf-8"?>
<pivotTableDefinition xmlns="http://schemas.openxmlformats.org/spreadsheetml/2006/main" name="PivotTable14" cacheId="2"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E223:G227" firstHeaderRow="0" firstDataRow="1" firstDataCol="1"/>
  <pivotFields count="4">
    <pivotField showAll="0"/>
    <pivotField axis="axisRow" showAll="0">
      <items count="7">
        <item m="1" x="4"/>
        <item x="0"/>
        <item m="1" x="3"/>
        <item x="2"/>
        <item m="1" x="5"/>
        <item x="1"/>
        <item t="default"/>
      </items>
    </pivotField>
    <pivotField dataField="1" showAll="0"/>
    <pivotField dataField="1" showAll="0"/>
  </pivotFields>
  <rowFields count="1">
    <field x="1"/>
  </rowFields>
  <rowItems count="4">
    <i>
      <x v="1"/>
    </i>
    <i>
      <x v="3"/>
    </i>
    <i>
      <x v="5"/>
    </i>
    <i t="grand">
      <x/>
    </i>
  </rowItems>
  <colFields count="1">
    <field x="-2"/>
  </colFields>
  <colItems count="2">
    <i>
      <x/>
    </i>
    <i i="1">
      <x v="1"/>
    </i>
  </colItems>
  <dataFields count="2">
    <dataField name=" الكمية (كغم)" fld="3" baseField="1" baseItem="0"/>
    <dataField name=" الكمية (لتر)" fld="2" baseField="1" baseItem="0"/>
  </dataFields>
  <formats count="2">
    <format dxfId="18">
      <pivotArea collapsedLevelsAreSubtotals="1" fieldPosition="0">
        <references count="2">
          <reference field="4294967294" count="1" selected="0">
            <x v="1"/>
          </reference>
          <reference field="1" count="1">
            <x v="2"/>
          </reference>
        </references>
      </pivotArea>
    </format>
    <format dxfId="17">
      <pivotArea collapsedLevelsAreSubtotals="1" fieldPosition="0">
        <references count="2">
          <reference field="4294967294" count="1" selected="0">
            <x v="1"/>
          </reference>
          <reference field="1" count="1">
            <x v="4"/>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14.xml><?xml version="1.0" encoding="utf-8"?>
<pivotTableDefinition xmlns="http://schemas.openxmlformats.org/spreadsheetml/2006/main" name="PivotTable7" cacheId="8"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E98:G102" firstHeaderRow="0" firstDataRow="1" firstDataCol="1"/>
  <pivotFields count="4">
    <pivotField showAll="0"/>
    <pivotField axis="axisRow" showAll="0">
      <items count="7">
        <item m="1" x="5"/>
        <item x="0"/>
        <item m="1" x="3"/>
        <item x="2"/>
        <item m="1" x="4"/>
        <item x="1"/>
        <item t="default"/>
      </items>
    </pivotField>
    <pivotField dataField="1" showAll="0"/>
    <pivotField dataField="1" showAll="0"/>
  </pivotFields>
  <rowFields count="1">
    <field x="1"/>
  </rowFields>
  <rowItems count="4">
    <i>
      <x v="1"/>
    </i>
    <i>
      <x v="3"/>
    </i>
    <i>
      <x v="5"/>
    </i>
    <i t="grand">
      <x/>
    </i>
  </rowItems>
  <colFields count="1">
    <field x="-2"/>
  </colFields>
  <colItems count="2">
    <i>
      <x/>
    </i>
    <i i="1">
      <x v="1"/>
    </i>
  </colItems>
  <dataFields count="2">
    <dataField name=" الكمية (كغم)" fld="3" baseField="1" baseItem="0"/>
    <dataField name=" الكمية (لتر)" fld="2" baseField="1" baseItem="0"/>
  </dataFields>
  <formats count="2">
    <format dxfId="20">
      <pivotArea collapsedLevelsAreSubtotals="1" fieldPosition="0">
        <references count="2">
          <reference field="4294967294" count="1" selected="0">
            <x v="1"/>
          </reference>
          <reference field="1" count="1">
            <x v="2"/>
          </reference>
        </references>
      </pivotArea>
    </format>
    <format dxfId="19">
      <pivotArea collapsedLevelsAreSubtotals="1" fieldPosition="0">
        <references count="2">
          <reference field="4294967294" count="1" selected="0">
            <x v="0"/>
          </reference>
          <reference field="1" count="1">
            <x v="4"/>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15.xml><?xml version="1.0" encoding="utf-8"?>
<pivotTableDefinition xmlns="http://schemas.openxmlformats.org/spreadsheetml/2006/main" name="PivotTable8" cacheId="7"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E120:G124" firstHeaderRow="0" firstDataRow="1" firstDataCol="1"/>
  <pivotFields count="4">
    <pivotField showAll="0"/>
    <pivotField axis="axisRow" showAll="0">
      <items count="7">
        <item m="1" x="4"/>
        <item x="0"/>
        <item m="1" x="3"/>
        <item x="2"/>
        <item m="1" x="5"/>
        <item x="1"/>
        <item t="default"/>
      </items>
    </pivotField>
    <pivotField dataField="1" showAll="0"/>
    <pivotField dataField="1" showAll="0"/>
  </pivotFields>
  <rowFields count="1">
    <field x="1"/>
  </rowFields>
  <rowItems count="4">
    <i>
      <x v="1"/>
    </i>
    <i>
      <x v="3"/>
    </i>
    <i>
      <x v="5"/>
    </i>
    <i t="grand">
      <x/>
    </i>
  </rowItems>
  <colFields count="1">
    <field x="-2"/>
  </colFields>
  <colItems count="2">
    <i>
      <x/>
    </i>
    <i i="1">
      <x v="1"/>
    </i>
  </colItems>
  <dataFields count="2">
    <dataField name=" الكمية (كغم)" fld="3" baseField="1" baseItem="0"/>
    <dataField name=" الكمية (لتر)" fld="2" baseField="1" baseItem="0"/>
  </dataFields>
  <formats count="2">
    <format dxfId="22">
      <pivotArea collapsedLevelsAreSubtotals="1" fieldPosition="0">
        <references count="2">
          <reference field="4294967294" count="1" selected="0">
            <x v="1"/>
          </reference>
          <reference field="1" count="1">
            <x v="2"/>
          </reference>
        </references>
      </pivotArea>
    </format>
    <format dxfId="21">
      <pivotArea collapsedLevelsAreSubtotals="1" fieldPosition="0">
        <references count="2">
          <reference field="4294967294" count="1" selected="0">
            <x v="0"/>
          </reference>
          <reference field="1" count="1">
            <x v="4"/>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15" cacheId="1"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E238:G242" firstHeaderRow="0" firstDataRow="1" firstDataCol="1"/>
  <pivotFields count="4">
    <pivotField showAll="0"/>
    <pivotField axis="axisRow" showAll="0">
      <items count="4">
        <item x="2"/>
        <item x="0"/>
        <item x="1"/>
        <item t="default"/>
      </items>
    </pivotField>
    <pivotField dataField="1" showAll="0"/>
    <pivotField dataField="1" showAll="0"/>
  </pivotFields>
  <rowFields count="1">
    <field x="1"/>
  </rowFields>
  <rowItems count="4">
    <i>
      <x/>
    </i>
    <i>
      <x v="1"/>
    </i>
    <i>
      <x v="2"/>
    </i>
    <i t="grand">
      <x/>
    </i>
  </rowItems>
  <colFields count="1">
    <field x="-2"/>
  </colFields>
  <colItems count="2">
    <i>
      <x/>
    </i>
    <i i="1">
      <x v="1"/>
    </i>
  </colItems>
  <dataFields count="2">
    <dataField name=" الكمية (كغم)" fld="3" baseField="1" baseItem="0"/>
    <dataField name=" الكمية (لتر)" fld="2" baseField="1"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1" cacheId="14"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E2:G6" firstHeaderRow="0" firstDataRow="1" firstDataCol="1"/>
  <pivotFields count="4">
    <pivotField showAll="0"/>
    <pivotField axis="axisRow" showAll="0">
      <items count="7">
        <item m="1" x="4"/>
        <item x="0"/>
        <item m="1" x="3"/>
        <item x="2"/>
        <item m="1" x="5"/>
        <item x="1"/>
        <item t="default"/>
      </items>
    </pivotField>
    <pivotField dataField="1" showAll="0"/>
    <pivotField dataField="1" showAll="0"/>
  </pivotFields>
  <rowFields count="1">
    <field x="1"/>
  </rowFields>
  <rowItems count="4">
    <i>
      <x v="1"/>
    </i>
    <i>
      <x v="3"/>
    </i>
    <i>
      <x v="5"/>
    </i>
    <i t="grand">
      <x/>
    </i>
  </rowItems>
  <colFields count="1">
    <field x="-2"/>
  </colFields>
  <colItems count="2">
    <i>
      <x/>
    </i>
    <i i="1">
      <x v="1"/>
    </i>
  </colItems>
  <dataFields count="2">
    <dataField name=" الكمية (كغم)" fld="3" baseField="1" baseItem="0"/>
    <dataField name=" الكمية (لتر)" fld="2" baseField="1" baseItem="1"/>
  </dataFields>
  <formats count="2">
    <format dxfId="2">
      <pivotArea collapsedLevelsAreSubtotals="1" fieldPosition="0">
        <references count="2">
          <reference field="4294967294" count="1" selected="0">
            <x v="1"/>
          </reference>
          <reference field="1" count="1">
            <x v="2"/>
          </reference>
        </references>
      </pivotArea>
    </format>
    <format dxfId="1">
      <pivotArea collapsedLevelsAreSubtotals="1" fieldPosition="0">
        <references count="2">
          <reference field="4294967294" count="1" selected="0">
            <x v="0"/>
          </reference>
          <reference field="1" count="1">
            <x v="4"/>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PivotTable12" cacheId="4"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E183:G187" firstHeaderRow="0" firstDataRow="1" firstDataCol="1"/>
  <pivotFields count="4">
    <pivotField showAll="0"/>
    <pivotField axis="axisRow" showAll="0">
      <items count="8">
        <item m="1" x="5"/>
        <item x="0"/>
        <item m="1" x="4"/>
        <item x="2"/>
        <item m="1" x="6"/>
        <item x="1"/>
        <item m="1" x="3"/>
        <item t="default"/>
      </items>
    </pivotField>
    <pivotField dataField="1" showAll="0"/>
    <pivotField dataField="1" showAll="0"/>
  </pivotFields>
  <rowFields count="1">
    <field x="1"/>
  </rowFields>
  <rowItems count="4">
    <i>
      <x v="1"/>
    </i>
    <i>
      <x v="3"/>
    </i>
    <i>
      <x v="5"/>
    </i>
    <i t="grand">
      <x/>
    </i>
  </rowItems>
  <colFields count="1">
    <field x="-2"/>
  </colFields>
  <colItems count="2">
    <i>
      <x/>
    </i>
    <i i="1">
      <x v="1"/>
    </i>
  </colItems>
  <dataFields count="2">
    <dataField name="الكمية ( كغم)" fld="3" baseField="1" baseItem="0"/>
    <dataField name=" الكمية (لتر)" fld="2" baseField="1" baseItem="0"/>
  </dataFields>
  <formats count="2">
    <format dxfId="4">
      <pivotArea collapsedLevelsAreSubtotals="1" fieldPosition="0">
        <references count="2">
          <reference field="4294967294" count="1" selected="0">
            <x v="1"/>
          </reference>
          <reference field="1" count="1">
            <x v="2"/>
          </reference>
        </references>
      </pivotArea>
    </format>
    <format dxfId="3">
      <pivotArea collapsedLevelsAreSubtotals="1" fieldPosition="0">
        <references count="2">
          <reference field="4294967294" count="1" selected="0">
            <x v="0"/>
          </reference>
          <reference field="1" count="1">
            <x v="4"/>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5.xml><?xml version="1.0" encoding="utf-8"?>
<pivotTableDefinition xmlns="http://schemas.openxmlformats.org/spreadsheetml/2006/main" name="PivotTable6" cacheId="9"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E88:G92" firstHeaderRow="0" firstDataRow="1" firstDataCol="1"/>
  <pivotFields count="4">
    <pivotField showAll="0"/>
    <pivotField axis="axisRow" showAll="0">
      <items count="7">
        <item m="1" x="4"/>
        <item x="0"/>
        <item m="1" x="3"/>
        <item x="2"/>
        <item m="1" x="5"/>
        <item x="1"/>
        <item t="default"/>
      </items>
    </pivotField>
    <pivotField dataField="1" showAll="0"/>
    <pivotField dataField="1" showAll="0"/>
  </pivotFields>
  <rowFields count="1">
    <field x="1"/>
  </rowFields>
  <rowItems count="4">
    <i>
      <x v="1"/>
    </i>
    <i>
      <x v="3"/>
    </i>
    <i>
      <x v="5"/>
    </i>
    <i t="grand">
      <x/>
    </i>
  </rowItems>
  <colFields count="1">
    <field x="-2"/>
  </colFields>
  <colItems count="2">
    <i>
      <x/>
    </i>
    <i i="1">
      <x v="1"/>
    </i>
  </colItems>
  <dataFields count="2">
    <dataField name=" الكمية (كغم)" fld="3" baseField="1" baseItem="0"/>
    <dataField name=" الكمية (لتر)" fld="2" baseField="1" baseItem="0"/>
  </dataFields>
  <formats count="2">
    <format dxfId="6">
      <pivotArea collapsedLevelsAreSubtotals="1" fieldPosition="0">
        <references count="2">
          <reference field="4294967294" count="1" selected="0">
            <x v="1"/>
          </reference>
          <reference field="1" count="1">
            <x v="2"/>
          </reference>
        </references>
      </pivotArea>
    </format>
    <format dxfId="5">
      <pivotArea collapsedLevelsAreSubtotals="1" fieldPosition="0">
        <references count="2">
          <reference field="4294967294" count="1" selected="0">
            <x v="0"/>
          </reference>
          <reference field="1" count="1">
            <x v="4"/>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6.xml><?xml version="1.0" encoding="utf-8"?>
<pivotTableDefinition xmlns="http://schemas.openxmlformats.org/spreadsheetml/2006/main" name="PivotTable5" cacheId="1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E65:G69" firstHeaderRow="0" firstDataRow="1" firstDataCol="1"/>
  <pivotFields count="4">
    <pivotField showAll="0"/>
    <pivotField axis="axisRow" showAll="0">
      <items count="7">
        <item m="1" x="4"/>
        <item x="0"/>
        <item m="1" x="3"/>
        <item x="2"/>
        <item m="1" x="5"/>
        <item x="1"/>
        <item t="default"/>
      </items>
    </pivotField>
    <pivotField dataField="1" showAll="0"/>
    <pivotField dataField="1" showAll="0"/>
  </pivotFields>
  <rowFields count="1">
    <field x="1"/>
  </rowFields>
  <rowItems count="4">
    <i>
      <x v="1"/>
    </i>
    <i>
      <x v="3"/>
    </i>
    <i>
      <x v="5"/>
    </i>
    <i t="grand">
      <x/>
    </i>
  </rowItems>
  <colFields count="1">
    <field x="-2"/>
  </colFields>
  <colItems count="2">
    <i>
      <x/>
    </i>
    <i i="1">
      <x v="1"/>
    </i>
  </colItems>
  <dataFields count="2">
    <dataField name=" الكمية (كغم)" fld="3" baseField="1" baseItem="0"/>
    <dataField name=" الكمية (لتر)" fld="2" baseField="1" baseItem="0"/>
  </dataFields>
  <formats count="2">
    <format dxfId="8">
      <pivotArea collapsedLevelsAreSubtotals="1" fieldPosition="0">
        <references count="2">
          <reference field="4294967294" count="1" selected="0">
            <x v="1"/>
          </reference>
          <reference field="1" count="1">
            <x v="2"/>
          </reference>
        </references>
      </pivotArea>
    </format>
    <format dxfId="7">
      <pivotArea collapsedLevelsAreSubtotals="1" fieldPosition="0">
        <references count="2">
          <reference field="4294967294" count="1" selected="0">
            <x v="0"/>
          </reference>
          <reference field="1" count="1">
            <x v="4"/>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7.xml><?xml version="1.0" encoding="utf-8"?>
<pivotTableDefinition xmlns="http://schemas.openxmlformats.org/spreadsheetml/2006/main" name="PivotTable13" cacheId="3"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E203:G207" firstHeaderRow="0" firstDataRow="1" firstDataCol="1"/>
  <pivotFields count="4">
    <pivotField showAll="0"/>
    <pivotField axis="axisRow" showAll="0">
      <items count="7">
        <item m="1" x="4"/>
        <item x="0"/>
        <item m="1" x="3"/>
        <item x="2"/>
        <item m="1" x="5"/>
        <item x="1"/>
        <item t="default"/>
      </items>
    </pivotField>
    <pivotField dataField="1" showAll="0"/>
    <pivotField dataField="1" showAll="0"/>
  </pivotFields>
  <rowFields count="1">
    <field x="1"/>
  </rowFields>
  <rowItems count="4">
    <i>
      <x v="1"/>
    </i>
    <i>
      <x v="3"/>
    </i>
    <i>
      <x v="5"/>
    </i>
    <i t="grand">
      <x/>
    </i>
  </rowItems>
  <colFields count="1">
    <field x="-2"/>
  </colFields>
  <colItems count="2">
    <i>
      <x/>
    </i>
    <i i="1">
      <x v="1"/>
    </i>
  </colItems>
  <dataFields count="2">
    <dataField name=" الكمية (كغم)" fld="3" baseField="1" baseItem="0"/>
    <dataField name=" الكمية (لتر)" fld="2" baseField="1" baseItem="0"/>
  </dataFields>
  <formats count="2">
    <format dxfId="10">
      <pivotArea collapsedLevelsAreSubtotals="1" fieldPosition="0">
        <references count="2">
          <reference field="4294967294" count="1" selected="0">
            <x v="1"/>
          </reference>
          <reference field="1" count="1">
            <x v="2"/>
          </reference>
        </references>
      </pivotArea>
    </format>
    <format dxfId="9">
      <pivotArea collapsedLevelsAreSubtotals="1" fieldPosition="0">
        <references count="2">
          <reference field="4294967294" count="1" selected="0">
            <x v="1"/>
          </reference>
          <reference field="1" count="1">
            <x v="4"/>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8.xml><?xml version="1.0" encoding="utf-8"?>
<pivotTableDefinition xmlns="http://schemas.openxmlformats.org/spreadsheetml/2006/main" name="PivotTable4" cacheId="11"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E40:G44" firstHeaderRow="0" firstDataRow="1" firstDataCol="1"/>
  <pivotFields count="4">
    <pivotField showAll="0"/>
    <pivotField axis="axisRow" showAll="0">
      <items count="8">
        <item m="1" x="5"/>
        <item m="1" x="3"/>
        <item x="0"/>
        <item m="1" x="4"/>
        <item x="2"/>
        <item m="1" x="6"/>
        <item x="1"/>
        <item t="default"/>
      </items>
    </pivotField>
    <pivotField dataField="1" showAll="0"/>
    <pivotField dataField="1" showAll="0"/>
  </pivotFields>
  <rowFields count="1">
    <field x="1"/>
  </rowFields>
  <rowItems count="4">
    <i>
      <x v="2"/>
    </i>
    <i>
      <x v="4"/>
    </i>
    <i>
      <x v="6"/>
    </i>
    <i t="grand">
      <x/>
    </i>
  </rowItems>
  <colFields count="1">
    <field x="-2"/>
  </colFields>
  <colItems count="2">
    <i>
      <x/>
    </i>
    <i i="1">
      <x v="1"/>
    </i>
  </colItems>
  <dataFields count="2">
    <dataField name=" الكمية (كغم)" fld="3" baseField="1" baseItem="0"/>
    <dataField name=" الكمية (لتر)" fld="2" baseField="1" baseItem="0"/>
  </dataFields>
  <formats count="2">
    <format dxfId="12">
      <pivotArea collapsedLevelsAreSubtotals="1" fieldPosition="0">
        <references count="2">
          <reference field="4294967294" count="1" selected="0">
            <x v="1"/>
          </reference>
          <reference field="1" count="1">
            <x v="3"/>
          </reference>
        </references>
      </pivotArea>
    </format>
    <format dxfId="11">
      <pivotArea collapsedLevelsAreSubtotals="1" fieldPosition="0">
        <references count="1">
          <reference field="1" count="1">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9.xml><?xml version="1.0" encoding="utf-8"?>
<pivotTableDefinition xmlns="http://schemas.openxmlformats.org/spreadsheetml/2006/main" name="PivotTable9" cacheId="6"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E134:G138" firstHeaderRow="0" firstDataRow="1" firstDataCol="1"/>
  <pivotFields count="4">
    <pivotField showAll="0"/>
    <pivotField axis="axisRow" showAll="0">
      <items count="4">
        <item x="0"/>
        <item x="2"/>
        <item x="1"/>
        <item t="default"/>
      </items>
    </pivotField>
    <pivotField dataField="1" showAll="0"/>
    <pivotField dataField="1" showAll="0"/>
  </pivotFields>
  <rowFields count="1">
    <field x="1"/>
  </rowFields>
  <rowItems count="4">
    <i>
      <x/>
    </i>
    <i>
      <x v="1"/>
    </i>
    <i>
      <x v="2"/>
    </i>
    <i t="grand">
      <x/>
    </i>
  </rowItems>
  <colFields count="1">
    <field x="-2"/>
  </colFields>
  <colItems count="2">
    <i>
      <x/>
    </i>
    <i i="1">
      <x v="1"/>
    </i>
  </colItems>
  <dataFields count="2">
    <dataField name=" الكمية (كغم)" fld="3" baseField="1" baseItem="0"/>
    <dataField name=" الكمية (لتر)" fld="2" baseField="1"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8" Type="http://schemas.openxmlformats.org/officeDocument/2006/relationships/pivotTable" Target="../pivotTables/pivotTable8.xml"/><Relationship Id="rId13" Type="http://schemas.openxmlformats.org/officeDocument/2006/relationships/pivotTable" Target="../pivotTables/pivotTable13.xml"/><Relationship Id="rId3" Type="http://schemas.openxmlformats.org/officeDocument/2006/relationships/pivotTable" Target="../pivotTables/pivotTable3.xml"/><Relationship Id="rId7" Type="http://schemas.openxmlformats.org/officeDocument/2006/relationships/pivotTable" Target="../pivotTables/pivotTable7.xml"/><Relationship Id="rId12" Type="http://schemas.openxmlformats.org/officeDocument/2006/relationships/pivotTable" Target="../pivotTables/pivotTable12.xml"/><Relationship Id="rId2" Type="http://schemas.openxmlformats.org/officeDocument/2006/relationships/pivotTable" Target="../pivotTables/pivotTable2.xml"/><Relationship Id="rId16" Type="http://schemas.openxmlformats.org/officeDocument/2006/relationships/printerSettings" Target="../printerSettings/printerSettings15.bin"/><Relationship Id="rId1" Type="http://schemas.openxmlformats.org/officeDocument/2006/relationships/pivotTable" Target="../pivotTables/pivotTable1.xml"/><Relationship Id="rId6" Type="http://schemas.openxmlformats.org/officeDocument/2006/relationships/pivotTable" Target="../pivotTables/pivotTable6.xml"/><Relationship Id="rId11" Type="http://schemas.openxmlformats.org/officeDocument/2006/relationships/pivotTable" Target="../pivotTables/pivotTable11.xml"/><Relationship Id="rId5" Type="http://schemas.openxmlformats.org/officeDocument/2006/relationships/pivotTable" Target="../pivotTables/pivotTable5.xml"/><Relationship Id="rId15" Type="http://schemas.openxmlformats.org/officeDocument/2006/relationships/pivotTable" Target="../pivotTables/pivotTable15.xml"/><Relationship Id="rId10" Type="http://schemas.openxmlformats.org/officeDocument/2006/relationships/pivotTable" Target="../pivotTables/pivotTable10.xml"/><Relationship Id="rId4" Type="http://schemas.openxmlformats.org/officeDocument/2006/relationships/pivotTable" Target="../pivotTables/pivotTable4.xml"/><Relationship Id="rId9" Type="http://schemas.openxmlformats.org/officeDocument/2006/relationships/pivotTable" Target="../pivotTables/pivotTable9.xml"/><Relationship Id="rId14" Type="http://schemas.openxmlformats.org/officeDocument/2006/relationships/pivotTable" Target="../pivotTables/pivotTable1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7030A0"/>
  </sheetPr>
  <dimension ref="A1:X42"/>
  <sheetViews>
    <sheetView rightToLeft="1" view="pageBreakPreview" zoomScaleNormal="100" zoomScaleSheetLayoutView="100" workbookViewId="0">
      <selection activeCell="L3" sqref="L3:M3"/>
    </sheetView>
  </sheetViews>
  <sheetFormatPr defaultRowHeight="13.2"/>
  <cols>
    <col min="1" max="1" width="5.109375" style="53" customWidth="1"/>
    <col min="2" max="2" width="7.44140625" customWidth="1"/>
    <col min="3" max="3" width="12.109375" style="53" customWidth="1"/>
    <col min="4" max="4" width="12.5546875" customWidth="1"/>
    <col min="5" max="5" width="12.44140625" style="53" customWidth="1"/>
    <col min="6" max="6" width="12.109375" customWidth="1"/>
    <col min="7" max="7" width="11.6640625" style="53" customWidth="1"/>
    <col min="8" max="8" width="0.5546875" style="53" customWidth="1"/>
    <col min="9" max="9" width="12.21875" style="53" customWidth="1"/>
    <col min="10" max="10" width="0.6640625" style="53" customWidth="1"/>
    <col min="11" max="11" width="12.109375" style="53" customWidth="1"/>
    <col min="12" max="12" width="10.33203125" customWidth="1"/>
    <col min="13" max="13" width="16.33203125" style="53" customWidth="1"/>
    <col min="14" max="14" width="13.6640625" customWidth="1"/>
  </cols>
  <sheetData>
    <row r="1" spans="1:19" ht="38.25" customHeight="1">
      <c r="B1" s="448" t="s">
        <v>140</v>
      </c>
      <c r="C1" s="448"/>
      <c r="D1" s="448"/>
      <c r="E1" s="448"/>
      <c r="F1" s="448"/>
      <c r="G1" s="448"/>
      <c r="H1" s="448"/>
      <c r="I1" s="448"/>
      <c r="J1" s="448"/>
      <c r="K1" s="448"/>
      <c r="L1" s="448"/>
      <c r="M1" s="448"/>
    </row>
    <row r="2" spans="1:19" s="53" customFormat="1" ht="31.5" customHeight="1">
      <c r="B2" s="453" t="s">
        <v>287</v>
      </c>
      <c r="C2" s="453"/>
      <c r="D2" s="453"/>
      <c r="E2" s="453"/>
      <c r="F2" s="453"/>
      <c r="G2" s="453"/>
      <c r="H2" s="453"/>
      <c r="I2" s="453"/>
      <c r="J2" s="453"/>
      <c r="K2" s="453"/>
      <c r="L2" s="453"/>
      <c r="M2" s="453"/>
    </row>
    <row r="3" spans="1:19" s="8" customFormat="1" ht="18" customHeight="1" thickBot="1">
      <c r="A3" s="53"/>
      <c r="B3" s="447" t="s">
        <v>86</v>
      </c>
      <c r="C3" s="447"/>
      <c r="E3" s="53"/>
      <c r="G3" s="53"/>
      <c r="H3" s="53"/>
      <c r="I3" s="53"/>
      <c r="J3" s="53"/>
      <c r="K3" s="53"/>
      <c r="L3" s="454" t="s">
        <v>276</v>
      </c>
      <c r="M3" s="454"/>
    </row>
    <row r="4" spans="1:19" ht="33.6" customHeight="1" thickTop="1">
      <c r="B4" s="466" t="s">
        <v>14</v>
      </c>
      <c r="C4" s="472" t="s">
        <v>122</v>
      </c>
      <c r="D4" s="460" t="s">
        <v>116</v>
      </c>
      <c r="E4" s="460"/>
      <c r="F4" s="460"/>
      <c r="G4" s="460"/>
      <c r="H4" s="311"/>
      <c r="I4" s="460" t="s">
        <v>127</v>
      </c>
      <c r="J4" s="443"/>
      <c r="K4" s="463" t="s">
        <v>139</v>
      </c>
      <c r="L4" s="463"/>
      <c r="M4" s="449" t="s">
        <v>176</v>
      </c>
      <c r="N4" s="322"/>
    </row>
    <row r="5" spans="1:19" s="53" customFormat="1" ht="48" customHeight="1">
      <c r="B5" s="467"/>
      <c r="C5" s="473"/>
      <c r="D5" s="471" t="s">
        <v>278</v>
      </c>
      <c r="E5" s="471"/>
      <c r="F5" s="471"/>
      <c r="G5" s="471"/>
      <c r="H5" s="253"/>
      <c r="I5" s="461"/>
      <c r="J5" s="444"/>
      <c r="K5" s="469" t="s">
        <v>283</v>
      </c>
      <c r="L5" s="470"/>
      <c r="M5" s="450"/>
      <c r="N5" s="322"/>
    </row>
    <row r="6" spans="1:19" s="53" customFormat="1" ht="17.399999999999999" customHeight="1">
      <c r="B6" s="467"/>
      <c r="C6" s="451" t="s">
        <v>279</v>
      </c>
      <c r="D6" s="328" t="s">
        <v>101</v>
      </c>
      <c r="E6" s="328" t="s">
        <v>102</v>
      </c>
      <c r="F6" s="328" t="s">
        <v>103</v>
      </c>
      <c r="G6" s="328" t="s">
        <v>0</v>
      </c>
      <c r="H6" s="458"/>
      <c r="I6" s="328" t="s">
        <v>0</v>
      </c>
      <c r="J6" s="458"/>
      <c r="K6" s="328" t="s">
        <v>36</v>
      </c>
      <c r="L6" s="328" t="s">
        <v>107</v>
      </c>
      <c r="M6" s="450"/>
      <c r="N6" s="322"/>
    </row>
    <row r="7" spans="1:19" s="53" customFormat="1" ht="44.4" customHeight="1">
      <c r="B7" s="468"/>
      <c r="C7" s="451"/>
      <c r="D7" s="415" t="s">
        <v>281</v>
      </c>
      <c r="E7" s="392" t="s">
        <v>280</v>
      </c>
      <c r="F7" s="416" t="s">
        <v>282</v>
      </c>
      <c r="G7" s="417" t="s">
        <v>192</v>
      </c>
      <c r="H7" s="459"/>
      <c r="I7" s="417" t="s">
        <v>192</v>
      </c>
      <c r="J7" s="459"/>
      <c r="K7" s="418" t="s">
        <v>277</v>
      </c>
      <c r="L7" s="391" t="s">
        <v>221</v>
      </c>
      <c r="M7" s="451"/>
      <c r="N7" s="323"/>
    </row>
    <row r="8" spans="1:19" s="53" customFormat="1" ht="30" customHeight="1">
      <c r="B8" s="37" t="s">
        <v>15</v>
      </c>
      <c r="C8" s="93">
        <v>1084600</v>
      </c>
      <c r="D8" s="93">
        <v>60000</v>
      </c>
      <c r="E8" s="132">
        <v>554070</v>
      </c>
      <c r="F8" s="132">
        <v>6114600</v>
      </c>
      <c r="G8" s="97">
        <f t="shared" ref="G8:G23" si="0">SUM(D8:F8)</f>
        <v>6728670</v>
      </c>
      <c r="H8" s="93"/>
      <c r="I8" s="169">
        <f t="shared" ref="I8:I22" si="1">G8/12990543*100</f>
        <v>51.796680092587351</v>
      </c>
      <c r="J8" s="169"/>
      <c r="K8" s="93">
        <v>429392</v>
      </c>
      <c r="L8" s="431">
        <f>K8/2319836*100</f>
        <v>18.509584298200391</v>
      </c>
      <c r="M8" s="353" t="s">
        <v>177</v>
      </c>
      <c r="N8" s="323"/>
    </row>
    <row r="9" spans="1:19" ht="24.9" customHeight="1">
      <c r="B9" s="69" t="s">
        <v>1</v>
      </c>
      <c r="C9" s="71">
        <v>741000</v>
      </c>
      <c r="D9" s="71">
        <v>215000</v>
      </c>
      <c r="E9" s="71">
        <v>437710</v>
      </c>
      <c r="F9" s="74">
        <v>472569</v>
      </c>
      <c r="G9" s="97">
        <f t="shared" si="0"/>
        <v>1125279</v>
      </c>
      <c r="H9" s="93"/>
      <c r="I9" s="169">
        <f t="shared" si="1"/>
        <v>8.6622937932617585</v>
      </c>
      <c r="J9" s="169"/>
      <c r="K9" s="93">
        <v>288592</v>
      </c>
      <c r="L9" s="431">
        <f>K9/2319836*100</f>
        <v>12.440189737550412</v>
      </c>
      <c r="M9" s="354" t="s">
        <v>178</v>
      </c>
      <c r="N9" s="288"/>
      <c r="O9" s="132"/>
      <c r="P9" s="132"/>
      <c r="Q9" s="132"/>
      <c r="R9" s="132"/>
      <c r="S9" s="132"/>
    </row>
    <row r="10" spans="1:19" s="27" customFormat="1" ht="24.9" customHeight="1">
      <c r="A10" s="53"/>
      <c r="B10" s="70" t="s">
        <v>2</v>
      </c>
      <c r="C10" s="71">
        <v>1273400</v>
      </c>
      <c r="D10" s="71">
        <v>40000</v>
      </c>
      <c r="E10" s="71">
        <v>63177</v>
      </c>
      <c r="F10" s="74">
        <v>125660</v>
      </c>
      <c r="G10" s="97">
        <f t="shared" si="0"/>
        <v>228837</v>
      </c>
      <c r="H10" s="93"/>
      <c r="I10" s="169">
        <f t="shared" si="1"/>
        <v>1.7615660869603373</v>
      </c>
      <c r="J10" s="169"/>
      <c r="K10" s="93">
        <v>10168</v>
      </c>
      <c r="L10" s="431">
        <f t="shared" ref="L10:L21" si="2">K10/2319836*100</f>
        <v>0.4383068458287569</v>
      </c>
      <c r="M10" s="355" t="s">
        <v>179</v>
      </c>
      <c r="N10" s="288"/>
      <c r="O10" s="132"/>
      <c r="P10" s="132"/>
      <c r="Q10" s="132"/>
      <c r="R10" s="132"/>
      <c r="S10" s="132"/>
    </row>
    <row r="11" spans="1:19" s="27" customFormat="1" ht="24.9" customHeight="1">
      <c r="A11" s="53"/>
      <c r="B11" s="38" t="s">
        <v>24</v>
      </c>
      <c r="C11" s="74">
        <v>476100</v>
      </c>
      <c r="D11" s="71">
        <v>148000</v>
      </c>
      <c r="E11" s="71">
        <v>595100</v>
      </c>
      <c r="F11" s="74">
        <v>0</v>
      </c>
      <c r="G11" s="97">
        <f t="shared" si="0"/>
        <v>743100</v>
      </c>
      <c r="H11" s="93"/>
      <c r="I11" s="169">
        <f t="shared" si="1"/>
        <v>5.7203151554172909</v>
      </c>
      <c r="J11" s="169"/>
      <c r="K11" s="93">
        <v>399500</v>
      </c>
      <c r="L11" s="431">
        <f t="shared" si="2"/>
        <v>17.221044935935126</v>
      </c>
      <c r="M11" s="355" t="s">
        <v>180</v>
      </c>
      <c r="N11" s="288"/>
      <c r="O11" s="132"/>
      <c r="P11" s="132"/>
      <c r="Q11" s="132"/>
      <c r="R11" s="132"/>
      <c r="S11" s="132"/>
    </row>
    <row r="12" spans="1:19" ht="24.9" customHeight="1">
      <c r="B12" s="39" t="s">
        <v>3</v>
      </c>
      <c r="C12" s="77">
        <v>998800</v>
      </c>
      <c r="D12" s="74">
        <v>115000</v>
      </c>
      <c r="E12" s="77">
        <v>30715</v>
      </c>
      <c r="F12" s="77">
        <v>0</v>
      </c>
      <c r="G12" s="97">
        <f t="shared" si="0"/>
        <v>145715</v>
      </c>
      <c r="H12" s="93"/>
      <c r="I12" s="169">
        <f t="shared" si="1"/>
        <v>1.1217006094356485</v>
      </c>
      <c r="J12" s="169"/>
      <c r="K12" s="93">
        <v>1072</v>
      </c>
      <c r="L12" s="431">
        <f t="shared" si="2"/>
        <v>4.6210163132221413E-2</v>
      </c>
      <c r="M12" s="354" t="s">
        <v>181</v>
      </c>
      <c r="N12" s="288"/>
      <c r="O12" s="132"/>
      <c r="P12" s="132"/>
      <c r="Q12" s="132"/>
      <c r="R12" s="132"/>
      <c r="S12" s="132"/>
    </row>
    <row r="13" spans="1:19" ht="24.9" customHeight="1">
      <c r="B13" s="69" t="s">
        <v>4</v>
      </c>
      <c r="C13" s="92">
        <v>1412860</v>
      </c>
      <c r="D13" s="71">
        <v>186000</v>
      </c>
      <c r="E13" s="92">
        <v>0</v>
      </c>
      <c r="F13" s="77">
        <v>0</v>
      </c>
      <c r="G13" s="97">
        <f t="shared" si="0"/>
        <v>186000</v>
      </c>
      <c r="H13" s="93"/>
      <c r="I13" s="169">
        <f t="shared" si="1"/>
        <v>1.4318108180697298</v>
      </c>
      <c r="J13" s="169"/>
      <c r="K13" s="93">
        <v>0</v>
      </c>
      <c r="L13" s="431">
        <f t="shared" si="2"/>
        <v>0</v>
      </c>
      <c r="M13" s="354" t="s">
        <v>182</v>
      </c>
      <c r="N13" s="288"/>
      <c r="O13" s="132"/>
      <c r="P13" s="132"/>
      <c r="Q13" s="132"/>
      <c r="R13" s="132"/>
      <c r="S13" s="132"/>
    </row>
    <row r="14" spans="1:19" s="68" customFormat="1" ht="24.9" customHeight="1">
      <c r="A14" s="53"/>
      <c r="B14" s="70" t="s">
        <v>5</v>
      </c>
      <c r="C14" s="71">
        <v>204160</v>
      </c>
      <c r="D14" s="71">
        <v>18500</v>
      </c>
      <c r="E14" s="71">
        <v>140143</v>
      </c>
      <c r="F14" s="74">
        <v>0</v>
      </c>
      <c r="G14" s="97">
        <f t="shared" si="0"/>
        <v>158643</v>
      </c>
      <c r="H14" s="93"/>
      <c r="I14" s="169">
        <f t="shared" si="1"/>
        <v>1.2212191591991188</v>
      </c>
      <c r="J14" s="169"/>
      <c r="K14" s="93">
        <v>140143</v>
      </c>
      <c r="L14" s="431">
        <f t="shared" si="2"/>
        <v>6.0410735931333077</v>
      </c>
      <c r="M14" s="355" t="s">
        <v>183</v>
      </c>
      <c r="N14" s="288"/>
      <c r="O14" s="132"/>
      <c r="P14" s="132"/>
      <c r="Q14" s="132"/>
      <c r="R14" s="132"/>
      <c r="S14" s="132"/>
    </row>
    <row r="15" spans="1:19" s="68" customFormat="1" ht="24.9" customHeight="1">
      <c r="A15" s="53"/>
      <c r="B15" s="39" t="s">
        <v>6</v>
      </c>
      <c r="C15" s="92">
        <v>2039600</v>
      </c>
      <c r="D15" s="71">
        <v>699000</v>
      </c>
      <c r="E15" s="71">
        <v>7025</v>
      </c>
      <c r="F15" s="74">
        <v>88220</v>
      </c>
      <c r="G15" s="97">
        <f t="shared" si="0"/>
        <v>794245</v>
      </c>
      <c r="H15" s="93"/>
      <c r="I15" s="169">
        <f t="shared" si="1"/>
        <v>6.1140246408483465</v>
      </c>
      <c r="J15" s="169"/>
      <c r="K15" s="93">
        <v>1445</v>
      </c>
      <c r="L15" s="431">
        <f t="shared" si="2"/>
        <v>6.2288885938488754E-2</v>
      </c>
      <c r="M15" s="354" t="s">
        <v>184</v>
      </c>
      <c r="N15" s="288"/>
      <c r="O15" s="132"/>
      <c r="P15" s="132"/>
      <c r="Q15" s="132"/>
      <c r="R15" s="132"/>
      <c r="S15" s="132"/>
    </row>
    <row r="16" spans="1:19" ht="24.9" customHeight="1">
      <c r="B16" s="70" t="s">
        <v>19</v>
      </c>
      <c r="C16" s="71">
        <v>960000</v>
      </c>
      <c r="D16" s="71">
        <v>39000</v>
      </c>
      <c r="E16" s="71">
        <v>1164000</v>
      </c>
      <c r="F16" s="74">
        <v>170700</v>
      </c>
      <c r="G16" s="97">
        <f t="shared" si="0"/>
        <v>1373700</v>
      </c>
      <c r="H16" s="93"/>
      <c r="I16" s="169">
        <f t="shared" si="1"/>
        <v>10.574615703131116</v>
      </c>
      <c r="J16" s="169"/>
      <c r="K16" s="93">
        <v>974500</v>
      </c>
      <c r="L16" s="431">
        <f t="shared" si="2"/>
        <v>42.007279824953144</v>
      </c>
      <c r="M16" s="355" t="s">
        <v>185</v>
      </c>
      <c r="N16" s="288"/>
      <c r="O16" s="132"/>
      <c r="P16" s="132"/>
      <c r="Q16" s="132"/>
      <c r="R16" s="132"/>
      <c r="S16" s="132"/>
    </row>
    <row r="17" spans="1:24" ht="24.9" customHeight="1">
      <c r="B17" s="70" t="s">
        <v>8</v>
      </c>
      <c r="C17" s="74">
        <v>237280</v>
      </c>
      <c r="D17" s="71">
        <v>125830</v>
      </c>
      <c r="E17" s="71">
        <v>103675</v>
      </c>
      <c r="F17" s="74">
        <v>0</v>
      </c>
      <c r="G17" s="97">
        <f>SUM(D17:F17)</f>
        <v>229505</v>
      </c>
      <c r="H17" s="93"/>
      <c r="I17" s="169">
        <f t="shared" si="1"/>
        <v>1.76670828925319</v>
      </c>
      <c r="J17" s="169"/>
      <c r="K17" s="93">
        <v>43504</v>
      </c>
      <c r="L17" s="431">
        <f t="shared" si="2"/>
        <v>1.8753049784553735</v>
      </c>
      <c r="M17" s="355" t="s">
        <v>186</v>
      </c>
      <c r="N17" s="288"/>
      <c r="O17" s="132"/>
      <c r="P17" s="132"/>
      <c r="Q17" s="132"/>
      <c r="R17" s="132"/>
      <c r="S17" s="132"/>
    </row>
    <row r="18" spans="1:24" s="27" customFormat="1" ht="24.9" customHeight="1">
      <c r="A18" s="53"/>
      <c r="B18" s="69" t="s">
        <v>118</v>
      </c>
      <c r="C18" s="77">
        <v>1349000</v>
      </c>
      <c r="D18" s="71">
        <v>316000</v>
      </c>
      <c r="E18" s="92">
        <v>12500</v>
      </c>
      <c r="F18" s="77">
        <v>0</v>
      </c>
      <c r="G18" s="97">
        <f t="shared" si="0"/>
        <v>328500</v>
      </c>
      <c r="H18" s="93"/>
      <c r="I18" s="169">
        <f t="shared" si="1"/>
        <v>2.5287626544941193</v>
      </c>
      <c r="J18" s="169"/>
      <c r="K18" s="93">
        <v>200</v>
      </c>
      <c r="L18" s="431">
        <f t="shared" si="2"/>
        <v>8.6212990918323532E-3</v>
      </c>
      <c r="M18" s="354" t="s">
        <v>187</v>
      </c>
      <c r="N18" s="288"/>
      <c r="O18" s="132"/>
      <c r="P18" s="132"/>
      <c r="Q18" s="132"/>
      <c r="R18" s="132"/>
      <c r="S18" s="132"/>
    </row>
    <row r="19" spans="1:24" s="68" customFormat="1" ht="24.9" customHeight="1">
      <c r="A19" s="53"/>
      <c r="B19" s="70" t="s">
        <v>10</v>
      </c>
      <c r="C19" s="74">
        <v>468000</v>
      </c>
      <c r="D19" s="71">
        <v>66000</v>
      </c>
      <c r="E19" s="71">
        <v>291350</v>
      </c>
      <c r="F19" s="74">
        <v>0</v>
      </c>
      <c r="G19" s="97">
        <f t="shared" si="0"/>
        <v>357350</v>
      </c>
      <c r="H19" s="93"/>
      <c r="I19" s="169">
        <f t="shared" si="1"/>
        <v>2.7508472894474081</v>
      </c>
      <c r="J19" s="169"/>
      <c r="K19" s="93">
        <v>30000</v>
      </c>
      <c r="L19" s="431">
        <f t="shared" si="2"/>
        <v>1.2931948637748529</v>
      </c>
      <c r="M19" s="355" t="s">
        <v>188</v>
      </c>
      <c r="N19" s="288"/>
      <c r="O19" s="132"/>
      <c r="P19" s="132"/>
      <c r="Q19" s="132"/>
      <c r="R19" s="132"/>
      <c r="S19" s="132"/>
    </row>
    <row r="20" spans="1:24" s="27" customFormat="1" ht="24.9" customHeight="1">
      <c r="A20" s="53"/>
      <c r="B20" s="70" t="s">
        <v>11</v>
      </c>
      <c r="C20" s="74">
        <v>737800</v>
      </c>
      <c r="D20" s="71">
        <v>222000</v>
      </c>
      <c r="E20" s="71">
        <v>264</v>
      </c>
      <c r="F20" s="74">
        <v>0</v>
      </c>
      <c r="G20" s="97">
        <f t="shared" si="0"/>
        <v>222264</v>
      </c>
      <c r="H20" s="93"/>
      <c r="I20" s="169">
        <f t="shared" si="1"/>
        <v>1.7109677401475829</v>
      </c>
      <c r="J20" s="169"/>
      <c r="K20" s="93">
        <v>0</v>
      </c>
      <c r="L20" s="431">
        <f t="shared" si="2"/>
        <v>0</v>
      </c>
      <c r="M20" s="355" t="s">
        <v>189</v>
      </c>
      <c r="N20" s="288"/>
      <c r="O20" s="132"/>
      <c r="P20" s="132"/>
      <c r="Q20" s="132"/>
      <c r="R20" s="132"/>
      <c r="S20" s="132"/>
    </row>
    <row r="21" spans="1:24" s="68" customFormat="1" ht="24.9" customHeight="1">
      <c r="A21" s="53"/>
      <c r="B21" s="72" t="s">
        <v>134</v>
      </c>
      <c r="C21" s="93">
        <v>791000</v>
      </c>
      <c r="D21" s="71">
        <v>243000</v>
      </c>
      <c r="E21" s="93">
        <v>20620</v>
      </c>
      <c r="F21" s="97">
        <v>67000</v>
      </c>
      <c r="G21" s="97">
        <f t="shared" si="0"/>
        <v>330620</v>
      </c>
      <c r="H21" s="93"/>
      <c r="I21" s="169">
        <f t="shared" si="1"/>
        <v>2.5450822186570647</v>
      </c>
      <c r="J21" s="169"/>
      <c r="K21" s="93">
        <v>1320</v>
      </c>
      <c r="L21" s="431">
        <f t="shared" si="2"/>
        <v>5.6900574006093531E-2</v>
      </c>
      <c r="M21" s="356" t="s">
        <v>275</v>
      </c>
      <c r="N21" s="288"/>
      <c r="O21" s="132"/>
      <c r="P21" s="132"/>
      <c r="Q21" s="132"/>
      <c r="R21" s="132"/>
      <c r="S21" s="132"/>
    </row>
    <row r="22" spans="1:24" s="68" customFormat="1" ht="24.9" customHeight="1">
      <c r="A22" s="53"/>
      <c r="B22" s="183" t="s">
        <v>119</v>
      </c>
      <c r="C22" s="184">
        <v>220000</v>
      </c>
      <c r="D22" s="92">
        <v>34500</v>
      </c>
      <c r="E22" s="92">
        <v>3615</v>
      </c>
      <c r="F22" s="77">
        <v>0</v>
      </c>
      <c r="G22" s="223">
        <f t="shared" si="0"/>
        <v>38115</v>
      </c>
      <c r="H22" s="132"/>
      <c r="I22" s="169">
        <f t="shared" si="1"/>
        <v>0.29340574908993411</v>
      </c>
      <c r="J22" s="169"/>
      <c r="K22" s="93">
        <v>0</v>
      </c>
      <c r="L22" s="431">
        <f>K22/2319836*100</f>
        <v>0</v>
      </c>
      <c r="M22" s="357" t="s">
        <v>191</v>
      </c>
      <c r="N22" s="288"/>
      <c r="O22" s="132"/>
      <c r="P22" s="132"/>
      <c r="Q22" s="132"/>
      <c r="R22" s="132"/>
      <c r="S22" s="132"/>
    </row>
    <row r="23" spans="1:24" s="27" customFormat="1" ht="24.9" customHeight="1" thickBot="1">
      <c r="A23" s="53"/>
      <c r="B23" s="133" t="s">
        <v>28</v>
      </c>
      <c r="C23" s="134">
        <f>SUM(C8:C22)</f>
        <v>12993600</v>
      </c>
      <c r="D23" s="134">
        <f>SUM(D8:D22)</f>
        <v>2527830</v>
      </c>
      <c r="E23" s="134">
        <f>SUM(E8:E22)</f>
        <v>3423964</v>
      </c>
      <c r="F23" s="134">
        <f>SUM(F8:F22)</f>
        <v>7038749</v>
      </c>
      <c r="G23" s="134">
        <f t="shared" si="0"/>
        <v>12990543</v>
      </c>
      <c r="H23" s="134"/>
      <c r="I23" s="150">
        <f>SUM(I8:I22)</f>
        <v>99.999999999999986</v>
      </c>
      <c r="J23" s="150"/>
      <c r="K23" s="134">
        <f>SUM(K8:K22)</f>
        <v>2319836</v>
      </c>
      <c r="L23" s="432">
        <f>SUM(L8:L22)</f>
        <v>99.999999999999986</v>
      </c>
      <c r="M23" s="358" t="s">
        <v>192</v>
      </c>
      <c r="N23" s="288"/>
      <c r="O23" s="132"/>
      <c r="P23" s="132"/>
      <c r="Q23" s="132"/>
      <c r="R23" s="132"/>
      <c r="S23" s="132"/>
    </row>
    <row r="24" spans="1:24" ht="24.9" customHeight="1" thickTop="1" thickBot="1">
      <c r="B24" s="457" t="s">
        <v>29</v>
      </c>
      <c r="C24" s="457"/>
      <c r="D24" s="98"/>
      <c r="E24" s="98"/>
      <c r="F24" s="98"/>
      <c r="G24" s="98"/>
      <c r="H24" s="149"/>
      <c r="I24" s="149"/>
      <c r="J24" s="149"/>
      <c r="K24" s="149"/>
      <c r="L24" s="456" t="s">
        <v>193</v>
      </c>
      <c r="M24" s="456"/>
      <c r="N24" s="288"/>
      <c r="O24" s="132"/>
      <c r="P24" s="132"/>
      <c r="Q24" s="132"/>
      <c r="R24" s="132"/>
      <c r="S24" s="132"/>
    </row>
    <row r="25" spans="1:24" s="5" customFormat="1" ht="24.9" customHeight="1" thickTop="1">
      <c r="A25" s="53"/>
      <c r="B25" s="21" t="s">
        <v>18</v>
      </c>
      <c r="C25" s="97">
        <v>38200</v>
      </c>
      <c r="D25" s="71" t="s">
        <v>69</v>
      </c>
      <c r="E25" s="71" t="s">
        <v>69</v>
      </c>
      <c r="F25" s="71" t="s">
        <v>69</v>
      </c>
      <c r="G25" s="71" t="s">
        <v>69</v>
      </c>
      <c r="H25" s="71"/>
      <c r="I25" s="71" t="s">
        <v>69</v>
      </c>
      <c r="J25" s="71"/>
      <c r="K25" s="71" t="s">
        <v>69</v>
      </c>
      <c r="L25" s="71" t="s">
        <v>69</v>
      </c>
      <c r="M25" s="356" t="s">
        <v>194</v>
      </c>
      <c r="N25" s="324"/>
      <c r="O25" s="132"/>
      <c r="P25" s="448"/>
      <c r="Q25" s="448"/>
      <c r="R25" s="448"/>
      <c r="S25" s="448"/>
      <c r="T25" s="448"/>
      <c r="U25" s="448"/>
      <c r="V25" s="448"/>
      <c r="W25" s="448"/>
      <c r="X25" s="448"/>
    </row>
    <row r="26" spans="1:24" s="5" customFormat="1" ht="24.9" customHeight="1">
      <c r="A26" s="53"/>
      <c r="B26" s="73" t="s">
        <v>34</v>
      </c>
      <c r="C26" s="92">
        <v>165000</v>
      </c>
      <c r="D26" s="92" t="s">
        <v>69</v>
      </c>
      <c r="E26" s="92" t="s">
        <v>69</v>
      </c>
      <c r="F26" s="92" t="s">
        <v>69</v>
      </c>
      <c r="G26" s="92" t="s">
        <v>69</v>
      </c>
      <c r="H26" s="92"/>
      <c r="I26" s="92" t="s">
        <v>69</v>
      </c>
      <c r="J26" s="92"/>
      <c r="K26" s="92" t="s">
        <v>69</v>
      </c>
      <c r="L26" s="92" t="s">
        <v>69</v>
      </c>
      <c r="M26" s="355" t="s">
        <v>195</v>
      </c>
      <c r="N26" s="132"/>
      <c r="O26" s="288"/>
      <c r="P26" s="288"/>
      <c r="Q26" s="288"/>
      <c r="R26" s="288"/>
      <c r="S26" s="11"/>
      <c r="T26" s="11"/>
      <c r="U26" s="11"/>
    </row>
    <row r="27" spans="1:24" s="5" customFormat="1" ht="24.9" customHeight="1">
      <c r="A27" s="53"/>
      <c r="B27" s="73" t="s">
        <v>17</v>
      </c>
      <c r="C27" s="92">
        <v>290900</v>
      </c>
      <c r="D27" s="71" t="s">
        <v>69</v>
      </c>
      <c r="E27" s="71" t="s">
        <v>69</v>
      </c>
      <c r="F27" s="71" t="s">
        <v>69</v>
      </c>
      <c r="G27" s="71" t="s">
        <v>69</v>
      </c>
      <c r="H27" s="71"/>
      <c r="I27" s="71" t="s">
        <v>69</v>
      </c>
      <c r="J27" s="71"/>
      <c r="K27" s="71" t="s">
        <v>69</v>
      </c>
      <c r="L27" s="71" t="s">
        <v>69</v>
      </c>
      <c r="M27" s="356" t="s">
        <v>196</v>
      </c>
      <c r="N27" s="132"/>
      <c r="O27" s="132"/>
      <c r="P27" s="132"/>
      <c r="Q27" s="132"/>
      <c r="R27" s="11"/>
      <c r="S27" s="11"/>
      <c r="T27" s="11"/>
      <c r="U27" s="11"/>
    </row>
    <row r="28" spans="1:24" s="5" customFormat="1" ht="24.9" customHeight="1" thickBot="1">
      <c r="A28" s="53"/>
      <c r="B28" s="212" t="s">
        <v>28</v>
      </c>
      <c r="C28" s="213">
        <f>SUM(C25:C27)</f>
        <v>494100</v>
      </c>
      <c r="D28" s="214" t="s">
        <v>69</v>
      </c>
      <c r="E28" s="214" t="s">
        <v>69</v>
      </c>
      <c r="F28" s="214" t="s">
        <v>69</v>
      </c>
      <c r="G28" s="214" t="s">
        <v>69</v>
      </c>
      <c r="H28" s="214"/>
      <c r="I28" s="214" t="s">
        <v>69</v>
      </c>
      <c r="J28" s="214"/>
      <c r="K28" s="214" t="s">
        <v>69</v>
      </c>
      <c r="L28" s="214" t="s">
        <v>69</v>
      </c>
      <c r="M28" s="412" t="s">
        <v>192</v>
      </c>
      <c r="N28" s="289"/>
      <c r="O28" s="342">
        <f>F29/1000000</f>
        <v>7.0387490000000001</v>
      </c>
      <c r="P28" s="318"/>
      <c r="Q28" s="289"/>
      <c r="R28" s="289"/>
      <c r="S28" s="289"/>
      <c r="T28" s="289"/>
      <c r="U28" s="11"/>
    </row>
    <row r="29" spans="1:24" s="5" customFormat="1" ht="24.9" customHeight="1" thickTop="1" thickBot="1">
      <c r="A29" s="53"/>
      <c r="B29" s="398" t="s">
        <v>358</v>
      </c>
      <c r="C29" s="98">
        <f>C23+C28</f>
        <v>13487700</v>
      </c>
      <c r="D29" s="98">
        <f>D23</f>
        <v>2527830</v>
      </c>
      <c r="E29" s="98">
        <f t="shared" ref="E29:L29" si="3">E23</f>
        <v>3423964</v>
      </c>
      <c r="F29" s="98">
        <f t="shared" si="3"/>
        <v>7038749</v>
      </c>
      <c r="G29" s="98">
        <f t="shared" si="3"/>
        <v>12990543</v>
      </c>
      <c r="H29" s="98">
        <f t="shared" si="3"/>
        <v>0</v>
      </c>
      <c r="I29" s="413">
        <f t="shared" si="3"/>
        <v>99.999999999999986</v>
      </c>
      <c r="J29" s="413"/>
      <c r="K29" s="98">
        <f t="shared" si="3"/>
        <v>2319836</v>
      </c>
      <c r="L29" s="433">
        <f t="shared" si="3"/>
        <v>99.999999999999986</v>
      </c>
      <c r="M29" s="414" t="s">
        <v>197</v>
      </c>
      <c r="N29" s="289" t="s">
        <v>102</v>
      </c>
      <c r="O29" s="318">
        <f>E29/1000000</f>
        <v>3.4239639999999998</v>
      </c>
      <c r="P29" s="318"/>
      <c r="Q29" s="289"/>
      <c r="R29" s="11"/>
    </row>
    <row r="30" spans="1:24" s="5" customFormat="1" ht="24.9" customHeight="1" thickTop="1">
      <c r="A30" s="53"/>
      <c r="B30" s="462" t="s">
        <v>44</v>
      </c>
      <c r="C30" s="462"/>
      <c r="D30" s="462"/>
      <c r="E30" s="181"/>
      <c r="F30" s="180"/>
      <c r="G30" s="180"/>
      <c r="H30" s="180"/>
      <c r="I30" s="180"/>
      <c r="J30" s="180"/>
      <c r="K30" s="474" t="s">
        <v>284</v>
      </c>
      <c r="L30" s="474"/>
      <c r="M30" s="474"/>
      <c r="N30" s="289" t="s">
        <v>101</v>
      </c>
      <c r="O30" s="290">
        <f>D29/1000000</f>
        <v>2.5278299999999998</v>
      </c>
      <c r="P30" s="290"/>
      <c r="Q30" s="132"/>
      <c r="R30" s="11"/>
    </row>
    <row r="31" spans="1:24" ht="54.75" customHeight="1">
      <c r="B31" s="452" t="s">
        <v>340</v>
      </c>
      <c r="C31" s="452"/>
      <c r="D31" s="452"/>
      <c r="E31" s="452"/>
      <c r="F31" s="452"/>
      <c r="G31" s="455" t="s">
        <v>285</v>
      </c>
      <c r="H31" s="455"/>
      <c r="I31" s="455"/>
      <c r="J31" s="455"/>
      <c r="K31" s="455"/>
      <c r="L31" s="455"/>
      <c r="M31" s="455"/>
      <c r="N31" s="464" t="s">
        <v>158</v>
      </c>
      <c r="O31" s="319">
        <f>K29/1000000</f>
        <v>2.319836</v>
      </c>
      <c r="P31" s="1"/>
      <c r="Q31" s="1"/>
    </row>
    <row r="32" spans="1:24" s="53" customFormat="1" ht="17.399999999999999" customHeight="1">
      <c r="B32" s="452" t="s">
        <v>133</v>
      </c>
      <c r="C32" s="452"/>
      <c r="D32" s="452"/>
      <c r="E32" s="455" t="s">
        <v>286</v>
      </c>
      <c r="F32" s="455"/>
      <c r="G32" s="455"/>
      <c r="H32" s="455"/>
      <c r="I32" s="455"/>
      <c r="J32" s="455"/>
      <c r="K32" s="455"/>
      <c r="L32" s="455"/>
      <c r="M32" s="455"/>
      <c r="N32" s="465"/>
      <c r="O32" s="1"/>
      <c r="P32" s="1"/>
      <c r="Q32" s="1"/>
    </row>
    <row r="33" spans="2:15" s="53" customFormat="1" ht="37.200000000000003" customHeight="1">
      <c r="B33" s="452" t="s">
        <v>330</v>
      </c>
      <c r="C33" s="452"/>
      <c r="D33" s="452"/>
      <c r="E33" s="452"/>
      <c r="F33" s="452"/>
      <c r="G33" s="455" t="s">
        <v>331</v>
      </c>
      <c r="H33" s="455"/>
      <c r="I33" s="455"/>
      <c r="J33" s="455"/>
      <c r="K33" s="455"/>
      <c r="L33" s="455"/>
      <c r="M33" s="455"/>
    </row>
    <row r="34" spans="2:15" s="53" customFormat="1" ht="25.5" customHeight="1">
      <c r="B34" s="475" t="s">
        <v>50</v>
      </c>
      <c r="C34" s="475"/>
      <c r="D34" s="475"/>
      <c r="E34" s="475"/>
      <c r="F34" s="419"/>
      <c r="G34" s="479" t="s">
        <v>198</v>
      </c>
      <c r="H34" s="479"/>
      <c r="I34" s="479"/>
      <c r="J34" s="479"/>
      <c r="K34" s="479"/>
      <c r="L34" s="479"/>
      <c r="M34" s="479"/>
    </row>
    <row r="35" spans="2:15" s="53" customFormat="1" ht="19.2" customHeight="1">
      <c r="B35" s="251"/>
      <c r="C35" s="251"/>
      <c r="D35" s="251"/>
      <c r="E35" s="251"/>
      <c r="F35" s="251"/>
      <c r="G35" s="265"/>
      <c r="H35" s="265"/>
      <c r="I35" s="265"/>
      <c r="J35" s="265"/>
      <c r="K35" s="266"/>
      <c r="L35" s="266"/>
      <c r="M35" s="325"/>
    </row>
    <row r="36" spans="2:15" s="53" customFormat="1" ht="24" customHeight="1">
      <c r="B36" s="480" t="s">
        <v>35</v>
      </c>
      <c r="C36" s="480"/>
      <c r="D36" s="480"/>
      <c r="E36" s="480"/>
      <c r="F36" s="43"/>
      <c r="G36" s="352">
        <v>14</v>
      </c>
      <c r="H36" s="43"/>
      <c r="I36" s="476" t="s">
        <v>200</v>
      </c>
      <c r="J36" s="476"/>
      <c r="K36" s="476"/>
      <c r="L36" s="476"/>
      <c r="M36" s="476"/>
    </row>
    <row r="37" spans="2:15" ht="18.75" customHeight="1">
      <c r="B37" s="3"/>
      <c r="N37" s="14"/>
    </row>
    <row r="38" spans="2:15" ht="18.75" customHeight="1">
      <c r="N38" s="83" t="s">
        <v>103</v>
      </c>
      <c r="O38">
        <v>7.0387490000000001</v>
      </c>
    </row>
    <row r="39" spans="2:15">
      <c r="N39" s="83" t="s">
        <v>102</v>
      </c>
      <c r="O39">
        <v>3.4239639999999998</v>
      </c>
    </row>
    <row r="40" spans="2:15">
      <c r="B40" s="7"/>
      <c r="N40" s="83" t="s">
        <v>101</v>
      </c>
      <c r="O40">
        <v>2.5278299999999998</v>
      </c>
    </row>
    <row r="41" spans="2:15" ht="15.6">
      <c r="B41" s="4"/>
      <c r="N41" s="477" t="s">
        <v>158</v>
      </c>
      <c r="O41">
        <v>2.319836</v>
      </c>
    </row>
    <row r="42" spans="2:15">
      <c r="N42" s="478"/>
    </row>
  </sheetData>
  <mergeCells count="32">
    <mergeCell ref="B34:E34"/>
    <mergeCell ref="I36:M36"/>
    <mergeCell ref="N41:N42"/>
    <mergeCell ref="G34:M34"/>
    <mergeCell ref="B36:E36"/>
    <mergeCell ref="B33:F33"/>
    <mergeCell ref="K5:L5"/>
    <mergeCell ref="D5:G5"/>
    <mergeCell ref="C4:C5"/>
    <mergeCell ref="K30:M30"/>
    <mergeCell ref="B32:D32"/>
    <mergeCell ref="E32:M32"/>
    <mergeCell ref="G33:M33"/>
    <mergeCell ref="P25:X25"/>
    <mergeCell ref="B30:D30"/>
    <mergeCell ref="D4:G4"/>
    <mergeCell ref="K4:L4"/>
    <mergeCell ref="N31:N32"/>
    <mergeCell ref="B4:B7"/>
    <mergeCell ref="C6:C7"/>
    <mergeCell ref="B3:C3"/>
    <mergeCell ref="B1:M1"/>
    <mergeCell ref="M4:M7"/>
    <mergeCell ref="B31:F31"/>
    <mergeCell ref="B2:M2"/>
    <mergeCell ref="L3:M3"/>
    <mergeCell ref="G31:M31"/>
    <mergeCell ref="L24:M24"/>
    <mergeCell ref="B24:C24"/>
    <mergeCell ref="H6:H7"/>
    <mergeCell ref="J6:J7"/>
    <mergeCell ref="I4:I5"/>
  </mergeCells>
  <phoneticPr fontId="5" type="noConversion"/>
  <printOptions horizontalCentered="1" verticalCentered="1"/>
  <pageMargins left="0.75" right="0.75" top="0.59055118110236204" bottom="0.196850393700787" header="0" footer="0"/>
  <pageSetup paperSize="9" scale="7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U29"/>
  <sheetViews>
    <sheetView rightToLeft="1" view="pageBreakPreview" topLeftCell="A7" zoomScale="130" zoomScaleSheetLayoutView="130" workbookViewId="0">
      <selection activeCell="U4" sqref="U4"/>
    </sheetView>
  </sheetViews>
  <sheetFormatPr defaultColWidth="9.109375" defaultRowHeight="13.2"/>
  <cols>
    <col min="1" max="1" width="2.6640625" style="53" customWidth="1"/>
    <col min="2" max="2" width="7.5546875" style="53" customWidth="1"/>
    <col min="3" max="3" width="6.44140625" style="53" customWidth="1"/>
    <col min="4" max="4" width="7.6640625" style="53" customWidth="1"/>
    <col min="5" max="5" width="0.44140625" style="53" customWidth="1"/>
    <col min="6" max="6" width="5.44140625" style="53" customWidth="1"/>
    <col min="7" max="7" width="5.88671875" style="53" customWidth="1"/>
    <col min="8" max="8" width="0.33203125" style="53" customWidth="1"/>
    <col min="9" max="9" width="5.109375" style="53" customWidth="1"/>
    <col min="10" max="10" width="6.6640625" style="53" customWidth="1"/>
    <col min="11" max="11" width="0.44140625" style="53" customWidth="1"/>
    <col min="12" max="12" width="8" style="53" customWidth="1"/>
    <col min="13" max="13" width="4.88671875" style="53" customWidth="1"/>
    <col min="14" max="14" width="0.44140625" style="53" customWidth="1"/>
    <col min="15" max="15" width="7.88671875" style="53" bestFit="1" customWidth="1"/>
    <col min="16" max="16" width="9" style="53" customWidth="1"/>
    <col min="17" max="17" width="0.44140625" style="53" customWidth="1"/>
    <col min="18" max="18" width="9" style="53" customWidth="1"/>
    <col min="19" max="19" width="9.109375" style="53" customWidth="1"/>
    <col min="20" max="20" width="11.109375" style="53" customWidth="1"/>
    <col min="21" max="16384" width="9.109375" style="53"/>
  </cols>
  <sheetData>
    <row r="1" spans="2:21" ht="33.6" customHeight="1">
      <c r="B1" s="497" t="s">
        <v>171</v>
      </c>
      <c r="C1" s="497"/>
      <c r="D1" s="497"/>
      <c r="E1" s="497"/>
      <c r="F1" s="497"/>
      <c r="G1" s="497"/>
      <c r="H1" s="497"/>
      <c r="I1" s="497"/>
      <c r="J1" s="497"/>
      <c r="K1" s="497"/>
      <c r="L1" s="497"/>
      <c r="M1" s="497"/>
      <c r="N1" s="497"/>
      <c r="O1" s="497"/>
      <c r="P1" s="497"/>
      <c r="Q1" s="497"/>
      <c r="R1" s="497"/>
      <c r="S1" s="497"/>
      <c r="T1" s="497"/>
    </row>
    <row r="2" spans="2:21" ht="24.6" customHeight="1">
      <c r="B2" s="502" t="s">
        <v>247</v>
      </c>
      <c r="C2" s="502"/>
      <c r="D2" s="502"/>
      <c r="E2" s="502"/>
      <c r="F2" s="502"/>
      <c r="G2" s="502"/>
      <c r="H2" s="502"/>
      <c r="I2" s="502"/>
      <c r="J2" s="502"/>
      <c r="K2" s="502"/>
      <c r="L2" s="502"/>
      <c r="M2" s="502"/>
      <c r="N2" s="502"/>
      <c r="O2" s="502"/>
      <c r="P2" s="502"/>
      <c r="Q2" s="502"/>
      <c r="R2" s="502"/>
      <c r="S2" s="502"/>
    </row>
    <row r="3" spans="2:21" ht="25.2" customHeight="1" thickBot="1">
      <c r="B3" s="544" t="s">
        <v>66</v>
      </c>
      <c r="C3" s="544"/>
      <c r="D3" s="544"/>
      <c r="E3" s="51"/>
      <c r="F3" s="51"/>
      <c r="G3" s="546"/>
      <c r="H3" s="546"/>
      <c r="I3" s="546"/>
      <c r="J3" s="546"/>
      <c r="K3" s="546"/>
      <c r="L3" s="546"/>
      <c r="M3" s="546"/>
      <c r="N3" s="51"/>
      <c r="O3" s="51"/>
      <c r="P3" s="51"/>
      <c r="R3" s="545"/>
      <c r="S3" s="545"/>
      <c r="T3" s="378" t="s">
        <v>248</v>
      </c>
    </row>
    <row r="4" spans="2:21" ht="30" customHeight="1" thickTop="1">
      <c r="B4" s="466" t="s">
        <v>14</v>
      </c>
      <c r="C4" s="460" t="s">
        <v>39</v>
      </c>
      <c r="D4" s="460"/>
      <c r="E4" s="370"/>
      <c r="F4" s="460" t="s">
        <v>40</v>
      </c>
      <c r="G4" s="460"/>
      <c r="H4" s="370"/>
      <c r="I4" s="460" t="s">
        <v>42</v>
      </c>
      <c r="J4" s="460"/>
      <c r="K4" s="370"/>
      <c r="L4" s="460" t="s">
        <v>43</v>
      </c>
      <c r="M4" s="460"/>
      <c r="N4" s="370"/>
      <c r="O4" s="460" t="s">
        <v>41</v>
      </c>
      <c r="P4" s="460"/>
      <c r="Q4" s="370"/>
      <c r="R4" s="460" t="s">
        <v>0</v>
      </c>
      <c r="S4" s="460"/>
      <c r="T4" s="506" t="s">
        <v>176</v>
      </c>
      <c r="U4" s="187"/>
    </row>
    <row r="5" spans="2:21" ht="36.6" customHeight="1">
      <c r="B5" s="467"/>
      <c r="C5" s="484" t="s">
        <v>254</v>
      </c>
      <c r="D5" s="484"/>
      <c r="E5" s="371"/>
      <c r="F5" s="484" t="s">
        <v>255</v>
      </c>
      <c r="G5" s="484"/>
      <c r="H5" s="371"/>
      <c r="I5" s="484" t="s">
        <v>256</v>
      </c>
      <c r="J5" s="484"/>
      <c r="K5" s="371"/>
      <c r="L5" s="484" t="s">
        <v>257</v>
      </c>
      <c r="M5" s="484"/>
      <c r="N5" s="371"/>
      <c r="O5" s="484" t="s">
        <v>258</v>
      </c>
      <c r="P5" s="484"/>
      <c r="Q5" s="371"/>
      <c r="R5" s="484" t="s">
        <v>192</v>
      </c>
      <c r="S5" s="484"/>
      <c r="T5" s="507"/>
      <c r="U5" s="187"/>
    </row>
    <row r="6" spans="2:21" ht="24.6" customHeight="1">
      <c r="B6" s="467"/>
      <c r="C6" s="167" t="s">
        <v>60</v>
      </c>
      <c r="D6" s="167" t="s">
        <v>61</v>
      </c>
      <c r="E6" s="335"/>
      <c r="F6" s="167" t="s">
        <v>60</v>
      </c>
      <c r="G6" s="167" t="s">
        <v>61</v>
      </c>
      <c r="H6" s="335"/>
      <c r="I6" s="167" t="s">
        <v>60</v>
      </c>
      <c r="J6" s="167" t="s">
        <v>61</v>
      </c>
      <c r="K6" s="335"/>
      <c r="L6" s="167" t="s">
        <v>60</v>
      </c>
      <c r="M6" s="167" t="s">
        <v>61</v>
      </c>
      <c r="N6" s="335"/>
      <c r="O6" s="167" t="s">
        <v>60</v>
      </c>
      <c r="P6" s="167" t="s">
        <v>61</v>
      </c>
      <c r="Q6" s="335"/>
      <c r="R6" s="167" t="s">
        <v>60</v>
      </c>
      <c r="S6" s="167" t="s">
        <v>61</v>
      </c>
      <c r="T6" s="507"/>
      <c r="U6" s="187"/>
    </row>
    <row r="7" spans="2:21" s="138" customFormat="1" ht="26.4" customHeight="1">
      <c r="B7" s="468"/>
      <c r="C7" s="428" t="s">
        <v>252</v>
      </c>
      <c r="D7" s="428" t="s">
        <v>253</v>
      </c>
      <c r="E7" s="429"/>
      <c r="F7" s="428" t="s">
        <v>252</v>
      </c>
      <c r="G7" s="428" t="s">
        <v>253</v>
      </c>
      <c r="H7" s="429"/>
      <c r="I7" s="428" t="s">
        <v>252</v>
      </c>
      <c r="J7" s="428" t="s">
        <v>253</v>
      </c>
      <c r="K7" s="429"/>
      <c r="L7" s="428" t="s">
        <v>252</v>
      </c>
      <c r="M7" s="428" t="s">
        <v>253</v>
      </c>
      <c r="N7" s="429"/>
      <c r="O7" s="428" t="s">
        <v>252</v>
      </c>
      <c r="P7" s="428" t="s">
        <v>253</v>
      </c>
      <c r="Q7" s="429"/>
      <c r="R7" s="428" t="s">
        <v>252</v>
      </c>
      <c r="S7" s="428" t="s">
        <v>253</v>
      </c>
      <c r="T7" s="508"/>
    </row>
    <row r="8" spans="2:21" s="54" customFormat="1" ht="36" customHeight="1">
      <c r="B8" s="190" t="s">
        <v>15</v>
      </c>
      <c r="C8" s="346">
        <v>0</v>
      </c>
      <c r="D8" s="347">
        <v>2654.85</v>
      </c>
      <c r="E8" s="348"/>
      <c r="F8" s="349">
        <v>0</v>
      </c>
      <c r="G8" s="349">
        <v>0</v>
      </c>
      <c r="H8" s="350"/>
      <c r="I8" s="347">
        <v>0</v>
      </c>
      <c r="J8" s="347">
        <v>0</v>
      </c>
      <c r="K8" s="348"/>
      <c r="L8" s="347">
        <v>2916</v>
      </c>
      <c r="M8" s="349">
        <v>0</v>
      </c>
      <c r="N8" s="346"/>
      <c r="O8" s="347">
        <v>55478</v>
      </c>
      <c r="P8" s="347">
        <v>219780</v>
      </c>
      <c r="Q8" s="347"/>
      <c r="R8" s="347">
        <f>C8+F8+I8+L8+O8</f>
        <v>58394</v>
      </c>
      <c r="S8" s="347">
        <f>D8+G8+J8+M8+P8</f>
        <v>222434.85</v>
      </c>
      <c r="T8" s="353" t="s">
        <v>177</v>
      </c>
    </row>
    <row r="9" spans="2:21" s="54" customFormat="1" ht="36" customHeight="1">
      <c r="B9" s="190" t="s">
        <v>1</v>
      </c>
      <c r="C9" s="95">
        <v>0</v>
      </c>
      <c r="D9" s="189">
        <v>3711.5</v>
      </c>
      <c r="E9" s="197"/>
      <c r="F9" s="345">
        <v>0</v>
      </c>
      <c r="G9" s="345">
        <v>0</v>
      </c>
      <c r="H9" s="198"/>
      <c r="I9" s="189">
        <v>0</v>
      </c>
      <c r="J9" s="189">
        <v>0</v>
      </c>
      <c r="K9" s="197"/>
      <c r="L9" s="189">
        <v>0</v>
      </c>
      <c r="M9" s="345">
        <v>0</v>
      </c>
      <c r="N9" s="95"/>
      <c r="O9" s="189">
        <v>9458.7000000000007</v>
      </c>
      <c r="P9" s="189">
        <v>22739</v>
      </c>
      <c r="Q9" s="189"/>
      <c r="R9" s="282">
        <f t="shared" ref="R9:R22" si="0">C9+F9+I9+L9+O9</f>
        <v>9458.7000000000007</v>
      </c>
      <c r="S9" s="282">
        <f t="shared" ref="S9:S22" si="1">D9+G9+J9+M9+P9</f>
        <v>26450.5</v>
      </c>
      <c r="T9" s="354" t="s">
        <v>178</v>
      </c>
    </row>
    <row r="10" spans="2:21" s="54" customFormat="1" ht="36" customHeight="1">
      <c r="B10" s="190" t="s">
        <v>2</v>
      </c>
      <c r="C10" s="95">
        <v>0</v>
      </c>
      <c r="D10" s="189">
        <v>3511.5</v>
      </c>
      <c r="E10" s="197"/>
      <c r="F10" s="345">
        <v>0</v>
      </c>
      <c r="G10" s="345">
        <v>0</v>
      </c>
      <c r="H10" s="198"/>
      <c r="I10" s="189">
        <v>0</v>
      </c>
      <c r="J10" s="189">
        <v>584</v>
      </c>
      <c r="K10" s="197"/>
      <c r="L10" s="189">
        <v>896</v>
      </c>
      <c r="M10" s="345">
        <v>0</v>
      </c>
      <c r="N10" s="95"/>
      <c r="O10" s="189">
        <v>1524.66</v>
      </c>
      <c r="P10" s="189">
        <v>5282.25</v>
      </c>
      <c r="Q10" s="189"/>
      <c r="R10" s="189">
        <f t="shared" si="0"/>
        <v>2420.66</v>
      </c>
      <c r="S10" s="189">
        <f t="shared" si="1"/>
        <v>9377.75</v>
      </c>
      <c r="T10" s="355" t="s">
        <v>179</v>
      </c>
    </row>
    <row r="11" spans="2:21" s="54" customFormat="1" ht="36" customHeight="1">
      <c r="B11" s="190" t="s">
        <v>26</v>
      </c>
      <c r="C11" s="95">
        <v>0</v>
      </c>
      <c r="D11" s="189">
        <v>902</v>
      </c>
      <c r="E11" s="197"/>
      <c r="F11" s="345">
        <v>0</v>
      </c>
      <c r="G11" s="345">
        <v>0</v>
      </c>
      <c r="H11" s="198"/>
      <c r="I11" s="189">
        <v>0</v>
      </c>
      <c r="J11" s="189">
        <v>395</v>
      </c>
      <c r="K11" s="197"/>
      <c r="L11" s="189">
        <v>624</v>
      </c>
      <c r="M11" s="345">
        <v>0</v>
      </c>
      <c r="N11" s="95"/>
      <c r="O11" s="189">
        <v>2639.7</v>
      </c>
      <c r="P11" s="189">
        <v>5080</v>
      </c>
      <c r="Q11" s="189"/>
      <c r="R11" s="189">
        <f t="shared" si="0"/>
        <v>3263.7</v>
      </c>
      <c r="S11" s="189">
        <f t="shared" si="1"/>
        <v>6377</v>
      </c>
      <c r="T11" s="355" t="s">
        <v>180</v>
      </c>
    </row>
    <row r="12" spans="2:21" s="54" customFormat="1" ht="36" customHeight="1">
      <c r="B12" s="191" t="s">
        <v>3</v>
      </c>
      <c r="C12" s="95">
        <v>0</v>
      </c>
      <c r="D12" s="189">
        <v>3266</v>
      </c>
      <c r="E12" s="195"/>
      <c r="F12" s="95">
        <v>0</v>
      </c>
      <c r="G12" s="95">
        <v>0</v>
      </c>
      <c r="H12" s="95"/>
      <c r="I12" s="189">
        <v>0</v>
      </c>
      <c r="J12" s="189">
        <v>439</v>
      </c>
      <c r="K12" s="195"/>
      <c r="L12" s="189">
        <v>1300</v>
      </c>
      <c r="M12" s="345">
        <v>0</v>
      </c>
      <c r="N12" s="95"/>
      <c r="O12" s="189">
        <v>1218.2</v>
      </c>
      <c r="P12" s="189">
        <v>4787</v>
      </c>
      <c r="Q12" s="189"/>
      <c r="R12" s="189">
        <f t="shared" si="0"/>
        <v>2518.1999999999998</v>
      </c>
      <c r="S12" s="189">
        <f t="shared" si="1"/>
        <v>8492</v>
      </c>
      <c r="T12" s="354" t="s">
        <v>181</v>
      </c>
    </row>
    <row r="13" spans="2:21" s="54" customFormat="1" ht="36" customHeight="1">
      <c r="B13" s="191" t="s">
        <v>4</v>
      </c>
      <c r="C13" s="95">
        <v>0</v>
      </c>
      <c r="D13" s="189">
        <v>6203</v>
      </c>
      <c r="E13" s="197"/>
      <c r="F13" s="345">
        <v>0</v>
      </c>
      <c r="G13" s="345">
        <v>0</v>
      </c>
      <c r="H13" s="198"/>
      <c r="I13" s="189">
        <v>0</v>
      </c>
      <c r="J13" s="189">
        <v>418</v>
      </c>
      <c r="K13" s="197"/>
      <c r="L13" s="189">
        <v>2000</v>
      </c>
      <c r="M13" s="345">
        <v>0</v>
      </c>
      <c r="N13" s="95"/>
      <c r="O13" s="189">
        <v>2551.39</v>
      </c>
      <c r="P13" s="189">
        <v>4651.7</v>
      </c>
      <c r="Q13" s="189"/>
      <c r="R13" s="189">
        <f t="shared" si="0"/>
        <v>4551.3899999999994</v>
      </c>
      <c r="S13" s="189">
        <f t="shared" si="1"/>
        <v>11272.7</v>
      </c>
      <c r="T13" s="354" t="s">
        <v>182</v>
      </c>
    </row>
    <row r="14" spans="2:21" s="54" customFormat="1" ht="36" customHeight="1">
      <c r="B14" s="191" t="s">
        <v>5</v>
      </c>
      <c r="C14" s="95">
        <v>0</v>
      </c>
      <c r="D14" s="189">
        <v>7731</v>
      </c>
      <c r="E14" s="197"/>
      <c r="F14" s="345">
        <v>0</v>
      </c>
      <c r="G14" s="345">
        <v>0</v>
      </c>
      <c r="H14" s="198"/>
      <c r="I14" s="189">
        <v>0</v>
      </c>
      <c r="J14" s="189">
        <v>463</v>
      </c>
      <c r="K14" s="197"/>
      <c r="L14" s="189">
        <v>1500</v>
      </c>
      <c r="M14" s="345">
        <v>0</v>
      </c>
      <c r="N14" s="95"/>
      <c r="O14" s="189">
        <v>1829</v>
      </c>
      <c r="P14" s="189">
        <v>3081</v>
      </c>
      <c r="Q14" s="189"/>
      <c r="R14" s="189">
        <f t="shared" si="0"/>
        <v>3329</v>
      </c>
      <c r="S14" s="189">
        <f t="shared" si="1"/>
        <v>11275</v>
      </c>
      <c r="T14" s="355" t="s">
        <v>183</v>
      </c>
    </row>
    <row r="15" spans="2:21" s="54" customFormat="1" ht="36" customHeight="1">
      <c r="B15" s="191" t="s">
        <v>6</v>
      </c>
      <c r="C15" s="95">
        <v>0</v>
      </c>
      <c r="D15" s="189">
        <v>7218</v>
      </c>
      <c r="E15" s="197"/>
      <c r="F15" s="345">
        <v>0</v>
      </c>
      <c r="G15" s="345">
        <v>0</v>
      </c>
      <c r="H15" s="198"/>
      <c r="I15" s="189">
        <v>0</v>
      </c>
      <c r="J15" s="189">
        <v>506</v>
      </c>
      <c r="K15" s="197"/>
      <c r="L15" s="189">
        <v>1500</v>
      </c>
      <c r="M15" s="345">
        <v>0</v>
      </c>
      <c r="N15" s="95"/>
      <c r="O15" s="189">
        <v>2340</v>
      </c>
      <c r="P15" s="189">
        <v>7166</v>
      </c>
      <c r="Q15" s="189"/>
      <c r="R15" s="189">
        <f t="shared" si="0"/>
        <v>3840</v>
      </c>
      <c r="S15" s="189">
        <f t="shared" si="1"/>
        <v>14890</v>
      </c>
      <c r="T15" s="354" t="s">
        <v>184</v>
      </c>
    </row>
    <row r="16" spans="2:21" s="54" customFormat="1" ht="36" customHeight="1">
      <c r="B16" s="191" t="s">
        <v>7</v>
      </c>
      <c r="C16" s="95">
        <v>0</v>
      </c>
      <c r="D16" s="189">
        <v>2198.6999999999998</v>
      </c>
      <c r="E16" s="197"/>
      <c r="F16" s="345">
        <v>0</v>
      </c>
      <c r="G16" s="345">
        <v>0</v>
      </c>
      <c r="H16" s="198"/>
      <c r="I16" s="189">
        <v>0</v>
      </c>
      <c r="J16" s="189">
        <v>424</v>
      </c>
      <c r="K16" s="197"/>
      <c r="L16" s="189">
        <v>3000</v>
      </c>
      <c r="M16" s="345">
        <v>0</v>
      </c>
      <c r="N16" s="95"/>
      <c r="O16" s="189">
        <v>7525.25</v>
      </c>
      <c r="P16" s="189">
        <v>17805</v>
      </c>
      <c r="Q16" s="189"/>
      <c r="R16" s="189">
        <f t="shared" si="0"/>
        <v>10525.25</v>
      </c>
      <c r="S16" s="189">
        <f t="shared" si="1"/>
        <v>20427.7</v>
      </c>
      <c r="T16" s="355" t="s">
        <v>185</v>
      </c>
    </row>
    <row r="17" spans="2:21" s="54" customFormat="1" ht="36" customHeight="1">
      <c r="B17" s="191" t="s">
        <v>8</v>
      </c>
      <c r="C17" s="95">
        <v>0</v>
      </c>
      <c r="D17" s="189">
        <v>2565.6</v>
      </c>
      <c r="E17" s="197"/>
      <c r="F17" s="345">
        <v>0</v>
      </c>
      <c r="G17" s="345">
        <v>0</v>
      </c>
      <c r="H17" s="198"/>
      <c r="I17" s="189">
        <v>0</v>
      </c>
      <c r="J17" s="189">
        <v>432</v>
      </c>
      <c r="K17" s="197"/>
      <c r="L17" s="189">
        <v>1189</v>
      </c>
      <c r="M17" s="345">
        <v>0</v>
      </c>
      <c r="N17" s="95"/>
      <c r="O17" s="189">
        <v>2582.8000000000002</v>
      </c>
      <c r="P17" s="189">
        <v>6996.8</v>
      </c>
      <c r="Q17" s="189"/>
      <c r="R17" s="189">
        <f t="shared" si="0"/>
        <v>3771.8</v>
      </c>
      <c r="S17" s="189">
        <f t="shared" si="1"/>
        <v>9994.4</v>
      </c>
      <c r="T17" s="355" t="s">
        <v>186</v>
      </c>
    </row>
    <row r="18" spans="2:21" s="54" customFormat="1" ht="36" customHeight="1">
      <c r="B18" s="191" t="s">
        <v>9</v>
      </c>
      <c r="C18" s="95">
        <v>0</v>
      </c>
      <c r="D18" s="189">
        <v>510.5</v>
      </c>
      <c r="E18" s="197"/>
      <c r="F18" s="345">
        <v>0</v>
      </c>
      <c r="G18" s="345">
        <v>0</v>
      </c>
      <c r="H18" s="198"/>
      <c r="I18" s="189">
        <v>0</v>
      </c>
      <c r="J18" s="189">
        <v>474</v>
      </c>
      <c r="K18" s="197"/>
      <c r="L18" s="189">
        <v>330</v>
      </c>
      <c r="M18" s="345">
        <v>0</v>
      </c>
      <c r="N18" s="95"/>
      <c r="O18" s="189">
        <v>370.8</v>
      </c>
      <c r="P18" s="189">
        <v>698.30000000000007</v>
      </c>
      <c r="Q18" s="189"/>
      <c r="R18" s="189">
        <f t="shared" si="0"/>
        <v>700.8</v>
      </c>
      <c r="S18" s="189">
        <f t="shared" si="1"/>
        <v>1682.8000000000002</v>
      </c>
      <c r="T18" s="354" t="s">
        <v>187</v>
      </c>
    </row>
    <row r="19" spans="2:21" s="54" customFormat="1" ht="36" customHeight="1">
      <c r="B19" s="191" t="s">
        <v>10</v>
      </c>
      <c r="C19" s="95">
        <v>0</v>
      </c>
      <c r="D19" s="189">
        <v>2116</v>
      </c>
      <c r="E19" s="197"/>
      <c r="F19" s="345">
        <v>0</v>
      </c>
      <c r="G19" s="345">
        <v>0</v>
      </c>
      <c r="H19" s="198"/>
      <c r="I19" s="189">
        <v>0</v>
      </c>
      <c r="J19" s="189">
        <v>542</v>
      </c>
      <c r="K19" s="197"/>
      <c r="L19" s="189">
        <v>1000</v>
      </c>
      <c r="M19" s="345">
        <v>0</v>
      </c>
      <c r="N19" s="95"/>
      <c r="O19" s="189">
        <v>2454.9</v>
      </c>
      <c r="P19" s="189">
        <v>86</v>
      </c>
      <c r="Q19" s="189"/>
      <c r="R19" s="189">
        <f t="shared" si="0"/>
        <v>3454.9</v>
      </c>
      <c r="S19" s="189">
        <f t="shared" si="1"/>
        <v>2744</v>
      </c>
      <c r="T19" s="355" t="s">
        <v>188</v>
      </c>
    </row>
    <row r="20" spans="2:21" s="54" customFormat="1" ht="36" customHeight="1">
      <c r="B20" s="191" t="s">
        <v>11</v>
      </c>
      <c r="C20" s="95">
        <v>0</v>
      </c>
      <c r="D20" s="189">
        <v>753</v>
      </c>
      <c r="E20" s="197"/>
      <c r="F20" s="345">
        <v>0</v>
      </c>
      <c r="G20" s="345">
        <v>0</v>
      </c>
      <c r="H20" s="198"/>
      <c r="I20" s="189">
        <v>0</v>
      </c>
      <c r="J20" s="189">
        <v>1062</v>
      </c>
      <c r="K20" s="197"/>
      <c r="L20" s="189">
        <v>326.7</v>
      </c>
      <c r="M20" s="345">
        <v>0</v>
      </c>
      <c r="N20" s="95"/>
      <c r="O20" s="189">
        <v>1413</v>
      </c>
      <c r="P20" s="189">
        <v>0</v>
      </c>
      <c r="Q20" s="189"/>
      <c r="R20" s="189">
        <f t="shared" si="0"/>
        <v>1739.7</v>
      </c>
      <c r="S20" s="189">
        <f t="shared" si="1"/>
        <v>1815</v>
      </c>
      <c r="T20" s="355" t="s">
        <v>189</v>
      </c>
    </row>
    <row r="21" spans="2:21" s="54" customFormat="1" ht="36" customHeight="1">
      <c r="B21" s="191" t="s">
        <v>12</v>
      </c>
      <c r="C21" s="95">
        <v>0</v>
      </c>
      <c r="D21" s="189">
        <v>124</v>
      </c>
      <c r="E21" s="197"/>
      <c r="F21" s="345">
        <v>0</v>
      </c>
      <c r="G21" s="345">
        <v>0</v>
      </c>
      <c r="H21" s="198"/>
      <c r="I21" s="189">
        <v>0</v>
      </c>
      <c r="J21" s="189">
        <v>294</v>
      </c>
      <c r="K21" s="197"/>
      <c r="L21" s="189">
        <v>485</v>
      </c>
      <c r="M21" s="345">
        <v>0</v>
      </c>
      <c r="N21" s="95"/>
      <c r="O21" s="189">
        <v>0</v>
      </c>
      <c r="P21" s="189">
        <v>0</v>
      </c>
      <c r="Q21" s="189"/>
      <c r="R21" s="189">
        <f t="shared" si="0"/>
        <v>485</v>
      </c>
      <c r="S21" s="189">
        <f t="shared" si="1"/>
        <v>418</v>
      </c>
      <c r="T21" s="356" t="s">
        <v>190</v>
      </c>
    </row>
    <row r="22" spans="2:21" s="54" customFormat="1" ht="36" customHeight="1">
      <c r="B22" s="192" t="s">
        <v>13</v>
      </c>
      <c r="C22" s="193">
        <v>4916</v>
      </c>
      <c r="D22" s="188">
        <v>1952.5</v>
      </c>
      <c r="E22" s="194"/>
      <c r="F22" s="344">
        <v>0</v>
      </c>
      <c r="G22" s="344">
        <v>0</v>
      </c>
      <c r="H22" s="196"/>
      <c r="I22" s="282">
        <v>0</v>
      </c>
      <c r="J22" s="188">
        <v>562</v>
      </c>
      <c r="K22" s="194"/>
      <c r="L22" s="344">
        <v>370</v>
      </c>
      <c r="M22" s="344">
        <v>0</v>
      </c>
      <c r="N22" s="193"/>
      <c r="O22" s="188">
        <v>402.7</v>
      </c>
      <c r="P22" s="188">
        <v>1462</v>
      </c>
      <c r="Q22" s="188"/>
      <c r="R22" s="282">
        <f t="shared" si="0"/>
        <v>5688.7</v>
      </c>
      <c r="S22" s="282">
        <f t="shared" si="1"/>
        <v>3976.5</v>
      </c>
      <c r="T22" s="357" t="s">
        <v>191</v>
      </c>
    </row>
    <row r="23" spans="2:21" ht="36" customHeight="1" thickBot="1">
      <c r="B23" s="215" t="s">
        <v>28</v>
      </c>
      <c r="C23" s="125">
        <f>SUM(C8:C22)</f>
        <v>4916</v>
      </c>
      <c r="D23" s="216">
        <f>SUM(D8:D22)</f>
        <v>45418.149999999994</v>
      </c>
      <c r="E23" s="125"/>
      <c r="F23" s="125">
        <f>SUM(F8:F22)</f>
        <v>0</v>
      </c>
      <c r="G23" s="125">
        <f>SUM(G8:G22)</f>
        <v>0</v>
      </c>
      <c r="H23" s="125"/>
      <c r="I23" s="125">
        <f>SUM(I8:I22)</f>
        <v>0</v>
      </c>
      <c r="J23" s="125">
        <f>SUM(J8:J22)</f>
        <v>6595</v>
      </c>
      <c r="K23" s="125"/>
      <c r="L23" s="125">
        <f>SUM(L8:L22)</f>
        <v>17436.7</v>
      </c>
      <c r="M23" s="125">
        <f>SUM(M8:M22)</f>
        <v>0</v>
      </c>
      <c r="N23" s="125"/>
      <c r="O23" s="217">
        <f>SUM(O8:O22)</f>
        <v>91789.099999999991</v>
      </c>
      <c r="P23" s="217">
        <f>SUM(P8:P22)</f>
        <v>299615.05</v>
      </c>
      <c r="Q23" s="216"/>
      <c r="R23" s="216">
        <f>SUM(R8:R22)</f>
        <v>114141.79999999999</v>
      </c>
      <c r="S23" s="216">
        <f>SUM(S8:S22)</f>
        <v>351628.2</v>
      </c>
      <c r="T23" s="216" t="s">
        <v>192</v>
      </c>
    </row>
    <row r="24" spans="2:21" ht="6.75" customHeight="1" thickTop="1">
      <c r="B24" s="86"/>
      <c r="C24" s="86"/>
      <c r="D24" s="86"/>
      <c r="E24" s="86"/>
      <c r="F24" s="86"/>
      <c r="G24" s="86"/>
      <c r="H24" s="86"/>
      <c r="I24" s="86"/>
      <c r="J24" s="86"/>
      <c r="K24" s="86"/>
      <c r="L24" s="86"/>
      <c r="M24" s="86"/>
      <c r="N24" s="86"/>
      <c r="O24" s="86"/>
      <c r="P24" s="86"/>
      <c r="Q24" s="86"/>
      <c r="R24" s="86"/>
      <c r="S24" s="86"/>
      <c r="T24" s="300"/>
      <c r="U24" s="186"/>
    </row>
    <row r="25" spans="2:21" ht="40.200000000000003" customHeight="1">
      <c r="B25" s="491" t="s">
        <v>50</v>
      </c>
      <c r="C25" s="491"/>
      <c r="D25" s="491"/>
      <c r="E25" s="491"/>
      <c r="F25" s="491"/>
      <c r="G25" s="491"/>
      <c r="H25" s="491"/>
      <c r="I25" s="491"/>
      <c r="J25" s="518" t="s">
        <v>198</v>
      </c>
      <c r="K25" s="518"/>
      <c r="L25" s="518"/>
      <c r="M25" s="518"/>
      <c r="N25" s="518"/>
      <c r="O25" s="518"/>
      <c r="P25" s="518"/>
      <c r="Q25" s="518"/>
      <c r="R25" s="518"/>
      <c r="S25" s="518"/>
      <c r="T25" s="518"/>
    </row>
    <row r="26" spans="2:21" ht="27.6" customHeight="1">
      <c r="B26" s="260"/>
      <c r="C26" s="260"/>
      <c r="D26" s="260"/>
      <c r="E26" s="260"/>
      <c r="F26" s="260"/>
      <c r="G26" s="260"/>
      <c r="H26" s="260"/>
      <c r="I26" s="260"/>
      <c r="J26" s="262"/>
      <c r="K26" s="262"/>
      <c r="L26" s="262"/>
      <c r="M26" s="262"/>
      <c r="N26" s="262"/>
      <c r="O26" s="262"/>
      <c r="P26" s="262"/>
      <c r="Q26" s="262"/>
      <c r="R26" s="262"/>
      <c r="S26" s="262"/>
      <c r="T26" s="262"/>
    </row>
    <row r="27" spans="2:21" ht="4.2" hidden="1" customHeight="1">
      <c r="B27" s="260"/>
      <c r="C27" s="260"/>
      <c r="D27" s="260"/>
      <c r="E27" s="260"/>
      <c r="F27" s="260"/>
      <c r="G27" s="260"/>
      <c r="H27" s="260"/>
      <c r="I27" s="260"/>
      <c r="J27" s="262"/>
      <c r="K27" s="262"/>
      <c r="L27" s="262"/>
      <c r="M27" s="262"/>
      <c r="N27" s="262"/>
      <c r="O27" s="262"/>
      <c r="P27" s="262"/>
      <c r="Q27" s="262"/>
      <c r="R27" s="262"/>
      <c r="S27" s="262"/>
      <c r="T27" s="262"/>
    </row>
    <row r="28" spans="2:21" ht="123.6" customHeight="1">
      <c r="J28" s="76"/>
      <c r="K28" s="76"/>
      <c r="L28" s="76"/>
      <c r="M28" s="76"/>
      <c r="N28" s="76"/>
      <c r="O28" s="76"/>
      <c r="P28" s="63"/>
    </row>
    <row r="29" spans="2:21" ht="18.75" customHeight="1">
      <c r="B29" s="480" t="s">
        <v>35</v>
      </c>
      <c r="C29" s="480"/>
      <c r="D29" s="480"/>
      <c r="E29" s="480"/>
      <c r="F29" s="480"/>
      <c r="G29" s="480"/>
      <c r="H29" s="17"/>
      <c r="I29" s="17"/>
      <c r="J29" s="17"/>
      <c r="K29" s="17"/>
      <c r="L29" s="17"/>
      <c r="M29" s="352">
        <v>23</v>
      </c>
      <c r="N29" s="44"/>
      <c r="O29" s="494" t="s">
        <v>200</v>
      </c>
      <c r="P29" s="494"/>
      <c r="Q29" s="494"/>
      <c r="R29" s="494"/>
      <c r="S29" s="494"/>
      <c r="T29" s="494"/>
    </row>
  </sheetData>
  <mergeCells count="23">
    <mergeCell ref="B29:G29"/>
    <mergeCell ref="O29:T29"/>
    <mergeCell ref="G3:M3"/>
    <mergeCell ref="L5:M5"/>
    <mergeCell ref="O5:P5"/>
    <mergeCell ref="R5:S5"/>
    <mergeCell ref="B4:B7"/>
    <mergeCell ref="R4:S4"/>
    <mergeCell ref="J25:T25"/>
    <mergeCell ref="B25:I25"/>
    <mergeCell ref="C5:D5"/>
    <mergeCell ref="F5:G5"/>
    <mergeCell ref="B2:S2"/>
    <mergeCell ref="R3:S3"/>
    <mergeCell ref="B1:T1"/>
    <mergeCell ref="C4:D4"/>
    <mergeCell ref="L4:M4"/>
    <mergeCell ref="O4:P4"/>
    <mergeCell ref="F4:G4"/>
    <mergeCell ref="I4:J4"/>
    <mergeCell ref="T4:T7"/>
    <mergeCell ref="B3:D3"/>
    <mergeCell ref="I5:J5"/>
  </mergeCells>
  <printOptions horizontalCentered="1"/>
  <pageMargins left="0.70866141732283505" right="0.70866141732283505" top="0.5" bottom="0.35433070866141703" header="0.31496062992126" footer="0.31496062992126"/>
  <pageSetup paperSize="9" scale="82"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7030A0"/>
  </sheetPr>
  <dimension ref="A1:P46"/>
  <sheetViews>
    <sheetView rightToLeft="1" view="pageBreakPreview" zoomScaleNormal="100" zoomScaleSheetLayoutView="100" workbookViewId="0">
      <selection activeCell="H33" sqref="H33"/>
    </sheetView>
  </sheetViews>
  <sheetFormatPr defaultRowHeight="13.2"/>
  <cols>
    <col min="1" max="1" width="1" style="54" customWidth="1"/>
    <col min="2" max="2" width="8.109375" customWidth="1"/>
    <col min="3" max="3" width="11.33203125" style="53" customWidth="1"/>
    <col min="4" max="4" width="8.5546875" style="53" customWidth="1"/>
    <col min="5" max="5" width="12.6640625" style="53" customWidth="1"/>
    <col min="6" max="6" width="0.6640625" style="53" customWidth="1"/>
    <col min="7" max="7" width="9.88671875" style="53" customWidth="1"/>
    <col min="8" max="8" width="9.109375" style="53" customWidth="1"/>
    <col min="9" max="9" width="12.6640625" style="53" customWidth="1"/>
    <col min="10" max="10" width="12.109375" customWidth="1"/>
    <col min="11" max="11" width="10.109375" style="53" customWidth="1"/>
    <col min="12" max="12" width="13.44140625" style="313" customWidth="1"/>
    <col min="13" max="13" width="10.5546875" style="313" bestFit="1" customWidth="1"/>
  </cols>
  <sheetData>
    <row r="1" spans="1:16" ht="22.5" customHeight="1">
      <c r="B1" s="502" t="s">
        <v>152</v>
      </c>
      <c r="C1" s="502"/>
      <c r="D1" s="502"/>
      <c r="E1" s="502"/>
      <c r="F1" s="502"/>
      <c r="G1" s="502"/>
      <c r="H1" s="502"/>
      <c r="I1" s="502"/>
      <c r="J1" s="502"/>
      <c r="K1" s="502"/>
      <c r="L1" s="502"/>
    </row>
    <row r="2" spans="1:16" s="53" customFormat="1" ht="22.5" customHeight="1">
      <c r="A2" s="341"/>
      <c r="B2" s="547" t="s">
        <v>259</v>
      </c>
      <c r="C2" s="547"/>
      <c r="D2" s="547"/>
      <c r="E2" s="547"/>
      <c r="F2" s="547"/>
      <c r="G2" s="547"/>
      <c r="H2" s="547"/>
      <c r="I2" s="547"/>
      <c r="J2" s="547"/>
      <c r="K2" s="547"/>
      <c r="L2" s="547"/>
      <c r="M2" s="313"/>
    </row>
    <row r="3" spans="1:16" s="15" customFormat="1" ht="28.5" customHeight="1" thickBot="1">
      <c r="A3" s="54"/>
      <c r="B3" s="47" t="s">
        <v>67</v>
      </c>
      <c r="C3" s="548"/>
      <c r="D3" s="548"/>
      <c r="E3" s="548"/>
      <c r="F3" s="267"/>
      <c r="G3" s="267"/>
      <c r="H3" s="267"/>
      <c r="I3" s="285"/>
      <c r="J3" s="268"/>
      <c r="K3" s="274"/>
      <c r="L3" s="385" t="s">
        <v>271</v>
      </c>
      <c r="M3" s="313"/>
    </row>
    <row r="4" spans="1:16" s="53" customFormat="1" ht="31.8" customHeight="1" thickTop="1">
      <c r="A4" s="54"/>
      <c r="B4" s="466" t="s">
        <v>14</v>
      </c>
      <c r="C4" s="460" t="s">
        <v>153</v>
      </c>
      <c r="D4" s="460"/>
      <c r="E4" s="460"/>
      <c r="F4" s="269"/>
      <c r="G4" s="460" t="s">
        <v>154</v>
      </c>
      <c r="H4" s="460"/>
      <c r="I4" s="460"/>
      <c r="J4" s="460" t="s">
        <v>0</v>
      </c>
      <c r="K4" s="460" t="s">
        <v>108</v>
      </c>
      <c r="L4" s="449" t="s">
        <v>176</v>
      </c>
      <c r="M4" s="274"/>
      <c r="N4" s="313"/>
    </row>
    <row r="5" spans="1:16" s="53" customFormat="1" ht="29.4" customHeight="1">
      <c r="A5" s="54"/>
      <c r="B5" s="467"/>
      <c r="C5" s="484" t="s">
        <v>295</v>
      </c>
      <c r="D5" s="484"/>
      <c r="E5" s="484"/>
      <c r="F5" s="336"/>
      <c r="G5" s="471" t="s">
        <v>294</v>
      </c>
      <c r="H5" s="471"/>
      <c r="I5" s="471"/>
      <c r="J5" s="489"/>
      <c r="K5" s="489"/>
      <c r="L5" s="450"/>
      <c r="M5" s="274"/>
      <c r="N5" s="313"/>
    </row>
    <row r="6" spans="1:16" ht="29.4" customHeight="1">
      <c r="B6" s="467"/>
      <c r="C6" s="337" t="s">
        <v>131</v>
      </c>
      <c r="D6" s="337" t="s">
        <v>132</v>
      </c>
      <c r="E6" s="337" t="s">
        <v>0</v>
      </c>
      <c r="F6" s="293"/>
      <c r="G6" s="339" t="s">
        <v>131</v>
      </c>
      <c r="H6" s="339" t="s">
        <v>132</v>
      </c>
      <c r="I6" s="339" t="s">
        <v>0</v>
      </c>
      <c r="J6" s="471" t="s">
        <v>192</v>
      </c>
      <c r="K6" s="471" t="s">
        <v>221</v>
      </c>
      <c r="L6" s="450"/>
      <c r="M6" s="394"/>
      <c r="N6" s="313"/>
    </row>
    <row r="7" spans="1:16" s="53" customFormat="1" ht="24" customHeight="1">
      <c r="A7" s="54"/>
      <c r="B7" s="468"/>
      <c r="C7" s="382" t="s">
        <v>261</v>
      </c>
      <c r="D7" s="382" t="s">
        <v>260</v>
      </c>
      <c r="E7" s="382" t="s">
        <v>192</v>
      </c>
      <c r="F7" s="293"/>
      <c r="G7" s="382" t="s">
        <v>261</v>
      </c>
      <c r="H7" s="382" t="s">
        <v>260</v>
      </c>
      <c r="I7" s="382" t="s">
        <v>192</v>
      </c>
      <c r="J7" s="487"/>
      <c r="K7" s="487"/>
      <c r="L7" s="451"/>
      <c r="M7" s="299"/>
      <c r="N7" s="313"/>
    </row>
    <row r="8" spans="1:16" s="27" customFormat="1" ht="35.1" customHeight="1">
      <c r="A8" s="54"/>
      <c r="B8" s="48" t="s">
        <v>15</v>
      </c>
      <c r="C8" s="338">
        <v>25314.355</v>
      </c>
      <c r="D8" s="338">
        <v>0</v>
      </c>
      <c r="E8" s="338">
        <f t="shared" ref="E8:E23" si="0">SUM(C8:D8)</f>
        <v>25314.355</v>
      </c>
      <c r="F8" s="338"/>
      <c r="G8" s="338">
        <v>2022.097</v>
      </c>
      <c r="H8" s="338">
        <v>95.99</v>
      </c>
      <c r="I8" s="338">
        <f t="shared" ref="I8:I23" si="1">SUM(G8:H8)</f>
        <v>2118.087</v>
      </c>
      <c r="J8" s="338">
        <f>E8+I8</f>
        <v>27432.441999999999</v>
      </c>
      <c r="K8" s="78">
        <f>J8/234764.391*100</f>
        <v>11.685094951218559</v>
      </c>
      <c r="L8" s="379" t="s">
        <v>177</v>
      </c>
      <c r="M8" s="313" t="s">
        <v>7</v>
      </c>
      <c r="N8" s="315">
        <v>44.521974</v>
      </c>
    </row>
    <row r="9" spans="1:16" s="35" customFormat="1" ht="35.1" customHeight="1">
      <c r="A9" s="55"/>
      <c r="B9" s="49" t="s">
        <v>1</v>
      </c>
      <c r="C9" s="270">
        <v>19955.170999999998</v>
      </c>
      <c r="D9" s="270">
        <v>0</v>
      </c>
      <c r="E9" s="270">
        <f t="shared" si="0"/>
        <v>19955.170999999998</v>
      </c>
      <c r="F9" s="270"/>
      <c r="G9" s="270">
        <v>6448.75</v>
      </c>
      <c r="H9" s="270">
        <v>0</v>
      </c>
      <c r="I9" s="270">
        <f t="shared" si="1"/>
        <v>6448.75</v>
      </c>
      <c r="J9" s="270">
        <f t="shared" ref="J9:J22" si="2">E9+I9</f>
        <v>26403.920999999998</v>
      </c>
      <c r="K9" s="78">
        <f t="shared" ref="K9:K22" si="3">J9/234764.391*100</f>
        <v>11.246987197474935</v>
      </c>
      <c r="L9" s="380" t="s">
        <v>178</v>
      </c>
      <c r="M9" s="316" t="s">
        <v>26</v>
      </c>
      <c r="N9" s="315">
        <v>34.259209999999996</v>
      </c>
      <c r="P9" s="27"/>
    </row>
    <row r="10" spans="1:16" s="27" customFormat="1" ht="35.1" customHeight="1">
      <c r="A10" s="54"/>
      <c r="B10" s="49" t="s">
        <v>2</v>
      </c>
      <c r="C10" s="270">
        <v>3173.2979999999998</v>
      </c>
      <c r="D10" s="270">
        <v>0</v>
      </c>
      <c r="E10" s="270">
        <f t="shared" si="0"/>
        <v>3173.2979999999998</v>
      </c>
      <c r="F10" s="270"/>
      <c r="G10" s="270">
        <v>2181.66</v>
      </c>
      <c r="H10" s="270">
        <v>0</v>
      </c>
      <c r="I10" s="270">
        <f t="shared" si="1"/>
        <v>2181.66</v>
      </c>
      <c r="J10" s="270">
        <f t="shared" si="2"/>
        <v>5354.9579999999996</v>
      </c>
      <c r="K10" s="78">
        <f t="shared" si="3"/>
        <v>2.2809924355180424</v>
      </c>
      <c r="L10" s="380" t="s">
        <v>179</v>
      </c>
      <c r="M10" s="313" t="s">
        <v>15</v>
      </c>
      <c r="N10" s="315">
        <v>27.432441999999998</v>
      </c>
    </row>
    <row r="11" spans="1:16" s="27" customFormat="1" ht="35.1" customHeight="1">
      <c r="A11" s="54"/>
      <c r="B11" s="49" t="s">
        <v>24</v>
      </c>
      <c r="C11" s="270">
        <v>25930.560000000001</v>
      </c>
      <c r="D11" s="270">
        <v>0</v>
      </c>
      <c r="E11" s="270">
        <f t="shared" si="0"/>
        <v>25930.560000000001</v>
      </c>
      <c r="F11" s="270"/>
      <c r="G11" s="270">
        <v>8328.65</v>
      </c>
      <c r="H11" s="270">
        <v>0</v>
      </c>
      <c r="I11" s="270">
        <f t="shared" si="1"/>
        <v>8328.65</v>
      </c>
      <c r="J11" s="270">
        <f t="shared" si="2"/>
        <v>34259.21</v>
      </c>
      <c r="K11" s="78">
        <f t="shared" si="3"/>
        <v>14.593018069763399</v>
      </c>
      <c r="L11" s="380" t="s">
        <v>180</v>
      </c>
      <c r="M11" s="316" t="s">
        <v>1</v>
      </c>
      <c r="N11" s="315">
        <v>26.403920999999997</v>
      </c>
    </row>
    <row r="12" spans="1:16" s="27" customFormat="1" ht="35.1" customHeight="1">
      <c r="A12" s="54"/>
      <c r="B12" s="49" t="s">
        <v>3</v>
      </c>
      <c r="C12" s="270">
        <f>3923.985+21.6+748.445</f>
        <v>4694.03</v>
      </c>
      <c r="D12" s="270">
        <f>599.02+40.06+0</f>
        <v>639.07999999999993</v>
      </c>
      <c r="E12" s="270">
        <f t="shared" si="0"/>
        <v>5333.11</v>
      </c>
      <c r="F12" s="270"/>
      <c r="G12" s="270">
        <f>1933.2+22.35+368.25</f>
        <v>2323.8000000000002</v>
      </c>
      <c r="H12" s="270">
        <v>4.0000000000000001E-3</v>
      </c>
      <c r="I12" s="270">
        <f t="shared" si="1"/>
        <v>2323.8040000000001</v>
      </c>
      <c r="J12" s="270">
        <f t="shared" si="2"/>
        <v>7656.9139999999998</v>
      </c>
      <c r="K12" s="78">
        <f t="shared" si="3"/>
        <v>3.2615312600793875</v>
      </c>
      <c r="L12" s="380" t="s">
        <v>181</v>
      </c>
      <c r="M12" s="316" t="s">
        <v>6</v>
      </c>
      <c r="N12" s="315">
        <v>24.600849000000004</v>
      </c>
    </row>
    <row r="13" spans="1:16" s="27" customFormat="1" ht="35.1" customHeight="1">
      <c r="A13" s="54"/>
      <c r="B13" s="49" t="s">
        <v>4</v>
      </c>
      <c r="C13" s="270">
        <v>4861.6149999999998</v>
      </c>
      <c r="D13" s="270">
        <v>0</v>
      </c>
      <c r="E13" s="270">
        <f t="shared" si="0"/>
        <v>4861.6149999999998</v>
      </c>
      <c r="F13" s="270"/>
      <c r="G13" s="270">
        <v>2041.4</v>
      </c>
      <c r="H13" s="270">
        <v>32.573</v>
      </c>
      <c r="I13" s="270">
        <f t="shared" si="1"/>
        <v>2073.973</v>
      </c>
      <c r="J13" s="270">
        <f t="shared" si="2"/>
        <v>6935.5879999999997</v>
      </c>
      <c r="K13" s="78">
        <f t="shared" si="3"/>
        <v>2.9542759745024534</v>
      </c>
      <c r="L13" s="380" t="s">
        <v>182</v>
      </c>
      <c r="M13" s="313" t="s">
        <v>10</v>
      </c>
      <c r="N13" s="315">
        <v>12.723321</v>
      </c>
      <c r="O13" s="35"/>
    </row>
    <row r="14" spans="1:16" s="27" customFormat="1" ht="35.1" customHeight="1">
      <c r="A14" s="54"/>
      <c r="B14" s="49" t="s">
        <v>5</v>
      </c>
      <c r="C14" s="270">
        <v>4431.9799999999996</v>
      </c>
      <c r="D14" s="270">
        <v>0</v>
      </c>
      <c r="E14" s="270">
        <f t="shared" si="0"/>
        <v>4431.9799999999996</v>
      </c>
      <c r="F14" s="270"/>
      <c r="G14" s="270">
        <v>2837.59</v>
      </c>
      <c r="H14" s="270">
        <v>0</v>
      </c>
      <c r="I14" s="270">
        <f t="shared" si="1"/>
        <v>2837.59</v>
      </c>
      <c r="J14" s="270">
        <f t="shared" si="2"/>
        <v>7269.57</v>
      </c>
      <c r="K14" s="78">
        <f t="shared" si="3"/>
        <v>3.0965386058058519</v>
      </c>
      <c r="L14" s="380" t="s">
        <v>214</v>
      </c>
      <c r="M14" s="316" t="s">
        <v>9</v>
      </c>
      <c r="N14" s="315">
        <v>10.518705000000001</v>
      </c>
    </row>
    <row r="15" spans="1:16" s="27" customFormat="1" ht="35.1" customHeight="1">
      <c r="A15" s="54"/>
      <c r="B15" s="49" t="s">
        <v>6</v>
      </c>
      <c r="C15" s="270">
        <v>16250.179</v>
      </c>
      <c r="D15" s="270">
        <v>0</v>
      </c>
      <c r="E15" s="270">
        <f t="shared" si="0"/>
        <v>16250.179</v>
      </c>
      <c r="F15" s="270"/>
      <c r="G15" s="270">
        <v>8350.67</v>
      </c>
      <c r="H15" s="270">
        <v>0</v>
      </c>
      <c r="I15" s="270">
        <f t="shared" si="1"/>
        <v>8350.67</v>
      </c>
      <c r="J15" s="270">
        <f t="shared" si="2"/>
        <v>24600.849000000002</v>
      </c>
      <c r="K15" s="78">
        <f t="shared" si="3"/>
        <v>10.478952491564192</v>
      </c>
      <c r="L15" s="380" t="s">
        <v>184</v>
      </c>
      <c r="M15" s="316" t="s">
        <v>12</v>
      </c>
      <c r="N15" s="315">
        <v>10.012617000000001</v>
      </c>
    </row>
    <row r="16" spans="1:16" s="27" customFormat="1" ht="35.1" customHeight="1">
      <c r="A16" s="54"/>
      <c r="B16" s="49" t="s">
        <v>7</v>
      </c>
      <c r="C16" s="270">
        <v>33405.065000000002</v>
      </c>
      <c r="D16" s="270">
        <v>0</v>
      </c>
      <c r="E16" s="270">
        <f t="shared" si="0"/>
        <v>33405.065000000002</v>
      </c>
      <c r="F16" s="270"/>
      <c r="G16" s="270">
        <v>10262.733</v>
      </c>
      <c r="H16" s="270">
        <v>854.17600000000004</v>
      </c>
      <c r="I16" s="270">
        <f t="shared" si="1"/>
        <v>11116.909</v>
      </c>
      <c r="J16" s="270">
        <f t="shared" si="2"/>
        <v>44521.974000000002</v>
      </c>
      <c r="K16" s="78">
        <f t="shared" si="3"/>
        <v>18.964534531985304</v>
      </c>
      <c r="L16" s="380" t="s">
        <v>215</v>
      </c>
      <c r="M16" s="316" t="s">
        <v>8</v>
      </c>
      <c r="N16" s="315">
        <v>8.1507059999999996</v>
      </c>
    </row>
    <row r="17" spans="1:16" s="27" customFormat="1" ht="35.1" customHeight="1">
      <c r="A17" s="54"/>
      <c r="B17" s="49" t="s">
        <v>8</v>
      </c>
      <c r="C17" s="270">
        <v>5264.299</v>
      </c>
      <c r="D17" s="270">
        <v>0</v>
      </c>
      <c r="E17" s="270">
        <f t="shared" si="0"/>
        <v>5264.299</v>
      </c>
      <c r="F17" s="270"/>
      <c r="G17" s="270">
        <v>2886.4070000000002</v>
      </c>
      <c r="H17" s="270">
        <v>0</v>
      </c>
      <c r="I17" s="270">
        <f t="shared" si="1"/>
        <v>2886.4070000000002</v>
      </c>
      <c r="J17" s="270">
        <f t="shared" si="2"/>
        <v>8150.7060000000001</v>
      </c>
      <c r="K17" s="78">
        <f t="shared" si="3"/>
        <v>3.4718663956153382</v>
      </c>
      <c r="L17" s="380" t="s">
        <v>186</v>
      </c>
      <c r="M17" s="316" t="s">
        <v>3</v>
      </c>
      <c r="N17" s="315">
        <v>7.7</v>
      </c>
    </row>
    <row r="18" spans="1:16" s="27" customFormat="1" ht="35.1" customHeight="1">
      <c r="A18" s="54"/>
      <c r="B18" s="49" t="s">
        <v>9</v>
      </c>
      <c r="C18" s="270">
        <v>7420.6350000000002</v>
      </c>
      <c r="D18" s="270">
        <v>0</v>
      </c>
      <c r="E18" s="270">
        <f t="shared" si="0"/>
        <v>7420.6350000000002</v>
      </c>
      <c r="F18" s="270"/>
      <c r="G18" s="270">
        <v>3098.07</v>
      </c>
      <c r="H18" s="270">
        <v>0</v>
      </c>
      <c r="I18" s="270">
        <f t="shared" si="1"/>
        <v>3098.07</v>
      </c>
      <c r="J18" s="270">
        <f t="shared" si="2"/>
        <v>10518.705</v>
      </c>
      <c r="K18" s="78">
        <f t="shared" si="3"/>
        <v>4.4805368289435341</v>
      </c>
      <c r="L18" s="380" t="s">
        <v>216</v>
      </c>
      <c r="M18" s="316" t="s">
        <v>5</v>
      </c>
      <c r="N18" s="315">
        <v>7.3</v>
      </c>
    </row>
    <row r="19" spans="1:16" ht="35.1" customHeight="1">
      <c r="B19" s="49" t="s">
        <v>10</v>
      </c>
      <c r="C19" s="270">
        <v>8485.9009999999998</v>
      </c>
      <c r="D19" s="270">
        <v>0</v>
      </c>
      <c r="E19" s="270">
        <f t="shared" si="0"/>
        <v>8485.9009999999998</v>
      </c>
      <c r="F19" s="270"/>
      <c r="G19" s="270">
        <v>4237.2749999999996</v>
      </c>
      <c r="H19" s="270">
        <v>0.14499999999999999</v>
      </c>
      <c r="I19" s="270">
        <f t="shared" si="1"/>
        <v>4237.42</v>
      </c>
      <c r="J19" s="270">
        <f t="shared" si="2"/>
        <v>12723.321</v>
      </c>
      <c r="K19" s="78">
        <f t="shared" si="3"/>
        <v>5.4196128066117151</v>
      </c>
      <c r="L19" s="380" t="s">
        <v>188</v>
      </c>
      <c r="M19" s="316" t="s">
        <v>11</v>
      </c>
      <c r="N19" s="315">
        <v>6.9854760000000002</v>
      </c>
      <c r="P19" s="27"/>
    </row>
    <row r="20" spans="1:16" s="27" customFormat="1" ht="35.1" customHeight="1">
      <c r="A20" s="54"/>
      <c r="B20" s="49" t="s">
        <v>11</v>
      </c>
      <c r="C20" s="270">
        <v>5331.1660000000002</v>
      </c>
      <c r="D20" s="270">
        <v>0</v>
      </c>
      <c r="E20" s="270">
        <f t="shared" si="0"/>
        <v>5331.1660000000002</v>
      </c>
      <c r="F20" s="270"/>
      <c r="G20" s="270">
        <v>1654.31</v>
      </c>
      <c r="H20" s="270">
        <v>0</v>
      </c>
      <c r="I20" s="270">
        <f t="shared" si="1"/>
        <v>1654.31</v>
      </c>
      <c r="J20" s="270">
        <f t="shared" si="2"/>
        <v>6985.4760000000006</v>
      </c>
      <c r="K20" s="78">
        <f t="shared" si="3"/>
        <v>2.9755262159839226</v>
      </c>
      <c r="L20" s="380" t="s">
        <v>217</v>
      </c>
      <c r="M20" s="316" t="s">
        <v>4</v>
      </c>
      <c r="N20" s="315">
        <f>J13/1000</f>
        <v>6.9355880000000001</v>
      </c>
    </row>
    <row r="21" spans="1:16" s="27" customFormat="1" ht="35.1" customHeight="1">
      <c r="A21" s="54"/>
      <c r="B21" s="49" t="s">
        <v>12</v>
      </c>
      <c r="C21" s="270">
        <v>7899.2470000000003</v>
      </c>
      <c r="D21" s="270">
        <v>0</v>
      </c>
      <c r="E21" s="270">
        <f t="shared" si="0"/>
        <v>7899.2470000000003</v>
      </c>
      <c r="F21" s="270"/>
      <c r="G21" s="270">
        <v>2113.0700000000002</v>
      </c>
      <c r="H21" s="270">
        <v>0.3</v>
      </c>
      <c r="I21" s="270">
        <f t="shared" si="1"/>
        <v>2113.3700000000003</v>
      </c>
      <c r="J21" s="270">
        <f t="shared" si="2"/>
        <v>10012.617</v>
      </c>
      <c r="K21" s="78">
        <f t="shared" si="3"/>
        <v>4.2649641018172977</v>
      </c>
      <c r="L21" s="380" t="s">
        <v>218</v>
      </c>
      <c r="M21" s="316" t="s">
        <v>2</v>
      </c>
      <c r="N21" s="315">
        <v>5.3549579999999999</v>
      </c>
    </row>
    <row r="22" spans="1:16" s="35" customFormat="1" ht="35.1" customHeight="1">
      <c r="A22" s="55"/>
      <c r="B22" s="62" t="s">
        <v>13</v>
      </c>
      <c r="C22" s="271">
        <v>1417.7</v>
      </c>
      <c r="D22" s="271">
        <v>0</v>
      </c>
      <c r="E22" s="271">
        <f t="shared" si="0"/>
        <v>1417.7</v>
      </c>
      <c r="F22" s="271"/>
      <c r="G22" s="271">
        <v>520.44000000000005</v>
      </c>
      <c r="H22" s="271">
        <v>0</v>
      </c>
      <c r="I22" s="271">
        <f t="shared" si="1"/>
        <v>520.44000000000005</v>
      </c>
      <c r="J22" s="270">
        <f t="shared" si="2"/>
        <v>1938.14</v>
      </c>
      <c r="K22" s="78">
        <f t="shared" si="3"/>
        <v>0.82556813311606536</v>
      </c>
      <c r="L22" s="380" t="s">
        <v>191</v>
      </c>
      <c r="M22" s="316" t="s">
        <v>162</v>
      </c>
      <c r="N22" s="315">
        <v>1.9381400000000002</v>
      </c>
      <c r="P22" s="27"/>
    </row>
    <row r="23" spans="1:16" s="27" customFormat="1" ht="35.1" customHeight="1" thickBot="1">
      <c r="A23" s="54"/>
      <c r="B23" s="122" t="s">
        <v>28</v>
      </c>
      <c r="C23" s="272">
        <f>SUM(C8:C22)</f>
        <v>173835.20100000006</v>
      </c>
      <c r="D23" s="272">
        <f>SUM(D8:D22)</f>
        <v>639.07999999999993</v>
      </c>
      <c r="E23" s="272">
        <f t="shared" si="0"/>
        <v>174474.28100000005</v>
      </c>
      <c r="F23" s="272"/>
      <c r="G23" s="272">
        <f>SUM(G8:G22)</f>
        <v>59306.921999999999</v>
      </c>
      <c r="H23" s="272">
        <f>SUM(H8:H22)</f>
        <v>983.18799999999999</v>
      </c>
      <c r="I23" s="272">
        <f t="shared" si="1"/>
        <v>60290.11</v>
      </c>
      <c r="J23" s="272">
        <f>SUM(J8:J22)</f>
        <v>234764.39099999997</v>
      </c>
      <c r="K23" s="171">
        <f>SUM(K8:K22)</f>
        <v>99.999999999999986</v>
      </c>
      <c r="L23" s="381" t="s">
        <v>192</v>
      </c>
      <c r="M23" s="312"/>
      <c r="N23" s="314"/>
    </row>
    <row r="24" spans="1:16" s="53" customFormat="1" ht="6" customHeight="1" thickTop="1">
      <c r="A24" s="54"/>
      <c r="B24" s="504"/>
      <c r="C24" s="504"/>
      <c r="D24" s="504"/>
      <c r="E24" s="504"/>
      <c r="F24" s="504"/>
      <c r="G24" s="504"/>
      <c r="H24" s="504"/>
      <c r="I24" s="504"/>
      <c r="J24" s="504"/>
      <c r="K24" s="182"/>
      <c r="L24" s="317"/>
      <c r="M24" s="315"/>
    </row>
    <row r="25" spans="1:16" s="22" customFormat="1" ht="21.75" customHeight="1">
      <c r="A25" s="54"/>
      <c r="B25" s="491" t="s">
        <v>53</v>
      </c>
      <c r="C25" s="491"/>
      <c r="D25" s="491"/>
      <c r="E25" s="491"/>
      <c r="F25" s="260"/>
      <c r="G25" s="455" t="s">
        <v>198</v>
      </c>
      <c r="H25" s="455"/>
      <c r="I25" s="455"/>
      <c r="J25" s="455"/>
      <c r="K25" s="455"/>
      <c r="L25" s="455"/>
      <c r="M25" s="313"/>
    </row>
    <row r="26" spans="1:16" s="53" customFormat="1" ht="69.75" customHeight="1">
      <c r="A26" s="54"/>
      <c r="B26" s="491"/>
      <c r="C26" s="491"/>
      <c r="D26" s="491"/>
      <c r="E26" s="491"/>
      <c r="F26" s="260"/>
      <c r="G26" s="260"/>
      <c r="H26" s="260"/>
      <c r="I26" s="284"/>
      <c r="L26" s="317"/>
      <c r="M26" s="313"/>
    </row>
    <row r="27" spans="1:16" s="53" customFormat="1" ht="42" customHeight="1">
      <c r="A27" s="54"/>
      <c r="B27" s="100"/>
      <c r="C27" s="100"/>
      <c r="D27" s="284"/>
      <c r="E27" s="284"/>
      <c r="F27" s="260"/>
      <c r="G27" s="260"/>
      <c r="H27" s="260"/>
      <c r="I27" s="301"/>
      <c r="J27" s="301"/>
      <c r="K27" s="301"/>
      <c r="L27" s="301"/>
      <c r="M27" s="313"/>
    </row>
    <row r="28" spans="1:16" s="16" customFormat="1" ht="21" customHeight="1">
      <c r="A28" s="54"/>
      <c r="B28" s="480" t="s">
        <v>35</v>
      </c>
      <c r="C28" s="480"/>
      <c r="D28" s="480"/>
      <c r="E28" s="480"/>
      <c r="F28" s="259"/>
      <c r="G28" s="352">
        <v>24</v>
      </c>
      <c r="H28" s="44"/>
      <c r="I28" s="494" t="s">
        <v>200</v>
      </c>
      <c r="J28" s="494"/>
      <c r="K28" s="494"/>
      <c r="L28" s="494"/>
      <c r="M28" s="313"/>
    </row>
    <row r="32" spans="1:16">
      <c r="M32" s="315"/>
    </row>
    <row r="33" spans="13:13">
      <c r="M33" s="315"/>
    </row>
    <row r="34" spans="13:13">
      <c r="M34" s="315"/>
    </row>
    <row r="35" spans="13:13">
      <c r="M35" s="315"/>
    </row>
    <row r="36" spans="13:13">
      <c r="M36" s="315"/>
    </row>
    <row r="37" spans="13:13">
      <c r="M37" s="315"/>
    </row>
    <row r="38" spans="13:13">
      <c r="M38" s="315"/>
    </row>
    <row r="39" spans="13:13">
      <c r="M39" s="315"/>
    </row>
    <row r="40" spans="13:13">
      <c r="M40" s="315"/>
    </row>
    <row r="41" spans="13:13">
      <c r="M41" s="315"/>
    </row>
    <row r="42" spans="13:13">
      <c r="M42" s="315"/>
    </row>
    <row r="43" spans="13:13">
      <c r="M43" s="315"/>
    </row>
    <row r="44" spans="13:13">
      <c r="M44" s="315"/>
    </row>
    <row r="45" spans="13:13">
      <c r="M45" s="315"/>
    </row>
    <row r="46" spans="13:13">
      <c r="M46" s="315"/>
    </row>
  </sheetData>
  <sortState ref="M29:N43">
    <sortCondition descending="1" ref="M29"/>
  </sortState>
  <mergeCells count="19">
    <mergeCell ref="G25:L25"/>
    <mergeCell ref="B28:E28"/>
    <mergeCell ref="C3:E3"/>
    <mergeCell ref="B25:E25"/>
    <mergeCell ref="B26:E26"/>
    <mergeCell ref="B24:J24"/>
    <mergeCell ref="C4:E4"/>
    <mergeCell ref="G4:I4"/>
    <mergeCell ref="I28:L28"/>
    <mergeCell ref="J4:J5"/>
    <mergeCell ref="K4:K5"/>
    <mergeCell ref="J6:J7"/>
    <mergeCell ref="K6:K7"/>
    <mergeCell ref="L4:L7"/>
    <mergeCell ref="B4:B7"/>
    <mergeCell ref="C5:E5"/>
    <mergeCell ref="G5:I5"/>
    <mergeCell ref="B1:L1"/>
    <mergeCell ref="B2:L2"/>
  </mergeCells>
  <phoneticPr fontId="0" type="noConversion"/>
  <printOptions horizontalCentered="1" verticalCentered="1"/>
  <pageMargins left="0.70866141732283472" right="0.70866141732283472" top="0" bottom="0.19685039370078741" header="0" footer="0"/>
  <pageSetup paperSize="9" scale="81"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1:AA34"/>
  <sheetViews>
    <sheetView rightToLeft="1" view="pageBreakPreview" zoomScale="130" zoomScaleNormal="100" zoomScaleSheetLayoutView="130" workbookViewId="0">
      <selection activeCell="L21" sqref="L21"/>
    </sheetView>
  </sheetViews>
  <sheetFormatPr defaultColWidth="9.109375" defaultRowHeight="13.2"/>
  <cols>
    <col min="1" max="1" width="2.5546875" style="53" customWidth="1"/>
    <col min="2" max="2" width="8.33203125" style="53" customWidth="1"/>
    <col min="3" max="3" width="11.6640625" style="53" customWidth="1"/>
    <col min="4" max="4" width="7.77734375" style="53" customWidth="1"/>
    <col min="5" max="5" width="11.5546875" style="53" customWidth="1"/>
    <col min="6" max="6" width="7.6640625" style="53" customWidth="1"/>
    <col min="7" max="7" width="11.5546875" style="53" customWidth="1"/>
    <col min="8" max="8" width="8.33203125" style="53" customWidth="1"/>
    <col min="9" max="9" width="12" style="53" customWidth="1"/>
    <col min="10" max="10" width="9.6640625" style="53" customWidth="1"/>
    <col min="11" max="11" width="10.77734375" style="53" customWidth="1"/>
    <col min="12" max="16" width="11.109375" style="53" customWidth="1"/>
    <col min="17" max="17" width="15.44140625" style="53" customWidth="1"/>
    <col min="18" max="18" width="12" style="53" customWidth="1"/>
    <col min="19" max="16384" width="9.109375" style="53"/>
  </cols>
  <sheetData>
    <row r="1" spans="2:22" ht="52.2" customHeight="1">
      <c r="B1" s="497" t="s">
        <v>173</v>
      </c>
      <c r="C1" s="497"/>
      <c r="D1" s="497"/>
      <c r="E1" s="497"/>
      <c r="F1" s="497"/>
      <c r="G1" s="497"/>
      <c r="H1" s="497"/>
      <c r="I1" s="497"/>
      <c r="J1" s="497"/>
      <c r="K1" s="497"/>
      <c r="L1" s="400"/>
      <c r="M1" s="400"/>
      <c r="N1" s="400"/>
      <c r="O1" s="400"/>
      <c r="P1" s="400"/>
    </row>
    <row r="2" spans="2:22" ht="33" customHeight="1">
      <c r="B2" s="498" t="s">
        <v>269</v>
      </c>
      <c r="C2" s="498"/>
      <c r="D2" s="498"/>
      <c r="E2" s="498"/>
      <c r="F2" s="498"/>
      <c r="G2" s="498"/>
      <c r="H2" s="498"/>
      <c r="I2" s="498"/>
      <c r="J2" s="498"/>
      <c r="K2" s="498"/>
      <c r="L2" s="401"/>
      <c r="M2" s="401"/>
      <c r="N2" s="401"/>
      <c r="O2" s="401"/>
      <c r="P2" s="401"/>
    </row>
    <row r="3" spans="2:22" ht="32.4" customHeight="1" thickBot="1">
      <c r="B3" s="544" t="s">
        <v>68</v>
      </c>
      <c r="C3" s="544"/>
      <c r="D3" s="286"/>
      <c r="E3" s="51"/>
      <c r="F3" s="51"/>
      <c r="G3" s="111"/>
      <c r="H3" s="111"/>
      <c r="I3" s="111"/>
      <c r="J3" s="454" t="s">
        <v>272</v>
      </c>
      <c r="K3" s="454"/>
      <c r="L3" s="409"/>
      <c r="M3" s="409"/>
      <c r="N3" s="409"/>
      <c r="O3" s="409"/>
      <c r="P3" s="409"/>
    </row>
    <row r="4" spans="2:22" ht="18.75" customHeight="1" thickTop="1">
      <c r="B4" s="460" t="s">
        <v>14</v>
      </c>
      <c r="C4" s="460" t="s">
        <v>166</v>
      </c>
      <c r="D4" s="460"/>
      <c r="E4" s="460"/>
      <c r="F4" s="460"/>
      <c r="G4" s="460"/>
      <c r="H4" s="460"/>
      <c r="I4" s="460" t="s">
        <v>165</v>
      </c>
      <c r="J4" s="460" t="s">
        <v>107</v>
      </c>
      <c r="K4" s="486" t="s">
        <v>176</v>
      </c>
      <c r="L4" s="397"/>
      <c r="M4" s="397"/>
      <c r="N4" s="397"/>
      <c r="O4" s="397"/>
      <c r="P4" s="397"/>
      <c r="Q4" s="278" t="s">
        <v>156</v>
      </c>
      <c r="R4" s="278" t="s">
        <v>155</v>
      </c>
      <c r="S4" s="278" t="s">
        <v>47</v>
      </c>
    </row>
    <row r="5" spans="2:22" ht="19.5" customHeight="1">
      <c r="B5" s="489"/>
      <c r="C5" s="509" t="s">
        <v>270</v>
      </c>
      <c r="D5" s="509"/>
      <c r="E5" s="509"/>
      <c r="F5" s="509"/>
      <c r="G5" s="509"/>
      <c r="H5" s="509"/>
      <c r="I5" s="489"/>
      <c r="J5" s="489"/>
      <c r="K5" s="471"/>
      <c r="L5" s="397"/>
      <c r="M5" s="397"/>
      <c r="N5" s="397"/>
      <c r="O5" s="397"/>
      <c r="P5" s="397"/>
      <c r="Q5" s="323"/>
      <c r="R5" s="323"/>
      <c r="S5" s="323"/>
    </row>
    <row r="6" spans="2:22" ht="26.4" customHeight="1">
      <c r="B6" s="489"/>
      <c r="C6" s="340" t="s">
        <v>355</v>
      </c>
      <c r="D6" s="340" t="s">
        <v>163</v>
      </c>
      <c r="E6" s="340" t="s">
        <v>356</v>
      </c>
      <c r="F6" s="340" t="s">
        <v>163</v>
      </c>
      <c r="G6" s="340" t="s">
        <v>357</v>
      </c>
      <c r="H6" s="340" t="s">
        <v>163</v>
      </c>
      <c r="I6" s="471" t="s">
        <v>268</v>
      </c>
      <c r="J6" s="471" t="s">
        <v>221</v>
      </c>
      <c r="K6" s="471"/>
      <c r="L6" s="397"/>
      <c r="M6" s="397"/>
      <c r="N6" s="397"/>
      <c r="O6" s="397"/>
      <c r="P6" s="397"/>
      <c r="Q6" s="253"/>
      <c r="R6" s="253"/>
      <c r="S6" s="253"/>
    </row>
    <row r="7" spans="2:22" ht="32.4" customHeight="1">
      <c r="B7" s="490"/>
      <c r="C7" s="430" t="s">
        <v>265</v>
      </c>
      <c r="D7" s="384" t="s">
        <v>221</v>
      </c>
      <c r="E7" s="430" t="s">
        <v>266</v>
      </c>
      <c r="F7" s="552" t="s">
        <v>221</v>
      </c>
      <c r="G7" s="383" t="s">
        <v>267</v>
      </c>
      <c r="H7" s="384" t="s">
        <v>221</v>
      </c>
      <c r="I7" s="487"/>
      <c r="J7" s="487"/>
      <c r="K7" s="487"/>
      <c r="L7" s="397"/>
      <c r="M7" s="397"/>
      <c r="N7" s="397"/>
      <c r="O7" s="397"/>
      <c r="P7" s="397"/>
      <c r="Q7" s="253"/>
      <c r="R7" s="253"/>
      <c r="S7" s="253"/>
    </row>
    <row r="8" spans="2:22" ht="35.1" customHeight="1">
      <c r="B8" s="48" t="s">
        <v>15</v>
      </c>
      <c r="C8" s="117">
        <v>29128202</v>
      </c>
      <c r="D8" s="78">
        <f>C8/2159870172*100</f>
        <v>1.3486089292592907</v>
      </c>
      <c r="E8" s="117">
        <v>406149311</v>
      </c>
      <c r="F8" s="78">
        <f>E8/3487651171*100</f>
        <v>11.645353594337431</v>
      </c>
      <c r="G8" s="117">
        <v>32874179</v>
      </c>
      <c r="H8" s="78">
        <f>G8/501354944*100</f>
        <v>6.5570668831381864</v>
      </c>
      <c r="I8" s="80">
        <f>C8+E8+G8</f>
        <v>468151692</v>
      </c>
      <c r="J8" s="282">
        <f>I8/6148876287*100</f>
        <v>7.6136137750855353</v>
      </c>
      <c r="K8" s="379" t="s">
        <v>177</v>
      </c>
      <c r="L8" s="410"/>
      <c r="M8" s="410"/>
      <c r="N8" s="410"/>
      <c r="O8" s="410"/>
      <c r="P8" s="410"/>
      <c r="Q8" s="14">
        <f>E23/1000000</f>
        <v>3487.6511719999999</v>
      </c>
      <c r="R8" s="14">
        <f>C23/1000000</f>
        <v>2159.8701729999998</v>
      </c>
      <c r="S8" s="14">
        <f>G23/1000000</f>
        <v>501.35494239175097</v>
      </c>
      <c r="V8" s="53">
        <v>1</v>
      </c>
    </row>
    <row r="9" spans="2:22" s="94" customFormat="1" ht="35.1" customHeight="1">
      <c r="B9" s="49" t="s">
        <v>1</v>
      </c>
      <c r="C9" s="30">
        <v>17877740</v>
      </c>
      <c r="D9" s="78">
        <f t="shared" ref="D9:D22" si="0">C9/2159870172*100</f>
        <v>0.82772289889283224</v>
      </c>
      <c r="E9" s="30">
        <v>88676624</v>
      </c>
      <c r="F9" s="78">
        <f t="shared" ref="F9:F22" si="1">E9/3487651171*100</f>
        <v>2.5425886836777347</v>
      </c>
      <c r="G9" s="30">
        <v>11289769</v>
      </c>
      <c r="H9" s="78">
        <f t="shared" ref="H9:H22" si="2">G9/501354944*100</f>
        <v>2.2518515345487446</v>
      </c>
      <c r="I9" s="80">
        <f t="shared" ref="I9:I22" si="3">C9+E9+G9</f>
        <v>117844133</v>
      </c>
      <c r="J9" s="282">
        <f t="shared" ref="J9:J22" si="4">I9/6148876287*100</f>
        <v>1.916514945163996</v>
      </c>
      <c r="K9" s="380" t="s">
        <v>178</v>
      </c>
      <c r="L9" s="410"/>
      <c r="M9" s="410"/>
      <c r="N9" s="410"/>
      <c r="O9" s="410"/>
      <c r="P9" s="410"/>
      <c r="Q9" s="99"/>
      <c r="R9" s="99"/>
      <c r="S9" s="99"/>
      <c r="V9" s="53"/>
    </row>
    <row r="10" spans="2:22" ht="35.1" customHeight="1">
      <c r="B10" s="49" t="s">
        <v>2</v>
      </c>
      <c r="C10" s="30">
        <v>358452496</v>
      </c>
      <c r="D10" s="78">
        <f t="shared" si="0"/>
        <v>16.596020475993683</v>
      </c>
      <c r="E10" s="30">
        <v>11842361</v>
      </c>
      <c r="F10" s="78">
        <f t="shared" si="1"/>
        <v>0.33955118844653515</v>
      </c>
      <c r="G10" s="30">
        <v>1126666</v>
      </c>
      <c r="H10" s="78">
        <f t="shared" si="2"/>
        <v>0.2247242225260673</v>
      </c>
      <c r="I10" s="80">
        <f>C10+E10+G10</f>
        <v>371421523</v>
      </c>
      <c r="J10" s="282">
        <f t="shared" si="4"/>
        <v>6.0404780591416705</v>
      </c>
      <c r="K10" s="380" t="s">
        <v>179</v>
      </c>
      <c r="L10" s="410"/>
      <c r="M10" s="410"/>
      <c r="N10" s="410"/>
      <c r="O10" s="410"/>
      <c r="P10" s="410"/>
    </row>
    <row r="11" spans="2:22" ht="35.1" customHeight="1">
      <c r="B11" s="49" t="s">
        <v>24</v>
      </c>
      <c r="C11" s="30">
        <v>212351786</v>
      </c>
      <c r="D11" s="78">
        <f t="shared" si="0"/>
        <v>9.8316921430220106</v>
      </c>
      <c r="E11" s="30">
        <v>687019356</v>
      </c>
      <c r="F11" s="78">
        <f t="shared" si="1"/>
        <v>19.698625874990064</v>
      </c>
      <c r="G11" s="30">
        <v>23238143.391751003</v>
      </c>
      <c r="H11" s="78">
        <f t="shared" si="2"/>
        <v>4.635068162756764</v>
      </c>
      <c r="I11" s="80">
        <f t="shared" si="3"/>
        <v>922609285.39175105</v>
      </c>
      <c r="J11" s="282">
        <f t="shared" si="4"/>
        <v>15.004518587279737</v>
      </c>
      <c r="K11" s="380" t="s">
        <v>180</v>
      </c>
      <c r="L11" s="410"/>
      <c r="M11" s="410"/>
      <c r="N11" s="410"/>
      <c r="O11" s="410"/>
      <c r="P11" s="410"/>
    </row>
    <row r="12" spans="2:22" ht="35.1" customHeight="1">
      <c r="B12" s="49" t="s">
        <v>135</v>
      </c>
      <c r="C12" s="30">
        <v>180451</v>
      </c>
      <c r="D12" s="78">
        <f t="shared" si="0"/>
        <v>8.3547151277572253E-3</v>
      </c>
      <c r="E12" s="30">
        <v>106444096</v>
      </c>
      <c r="F12" s="78">
        <f t="shared" si="1"/>
        <v>3.0520281639714479</v>
      </c>
      <c r="G12" s="30">
        <v>0</v>
      </c>
      <c r="H12" s="78">
        <f t="shared" si="2"/>
        <v>0</v>
      </c>
      <c r="I12" s="80">
        <f t="shared" si="3"/>
        <v>106624547</v>
      </c>
      <c r="J12" s="282">
        <f t="shared" si="4"/>
        <v>1.7340493128057628</v>
      </c>
      <c r="K12" s="380" t="s">
        <v>262</v>
      </c>
      <c r="L12" s="410"/>
      <c r="M12" s="410"/>
      <c r="N12" s="410"/>
      <c r="O12" s="410"/>
      <c r="P12" s="410"/>
    </row>
    <row r="13" spans="2:22" ht="35.1" customHeight="1">
      <c r="B13" s="49" t="s">
        <v>4</v>
      </c>
      <c r="C13" s="30">
        <v>247345070</v>
      </c>
      <c r="D13" s="78">
        <f t="shared" si="0"/>
        <v>11.451848967892502</v>
      </c>
      <c r="E13" s="30">
        <v>4917769</v>
      </c>
      <c r="F13" s="78">
        <f t="shared" si="1"/>
        <v>0.14100518540648516</v>
      </c>
      <c r="G13" s="30">
        <v>71395830</v>
      </c>
      <c r="H13" s="78">
        <f t="shared" si="2"/>
        <v>14.240575634973693</v>
      </c>
      <c r="I13" s="80">
        <f t="shared" si="3"/>
        <v>323658669</v>
      </c>
      <c r="J13" s="282">
        <f t="shared" si="4"/>
        <v>5.2637043565875858</v>
      </c>
      <c r="K13" s="380" t="s">
        <v>182</v>
      </c>
      <c r="L13" s="410"/>
      <c r="M13" s="410"/>
      <c r="N13" s="410"/>
      <c r="O13" s="410"/>
      <c r="P13" s="410"/>
    </row>
    <row r="14" spans="2:22" ht="35.1" customHeight="1">
      <c r="B14" s="49" t="s">
        <v>136</v>
      </c>
      <c r="C14" s="30">
        <v>2617411</v>
      </c>
      <c r="D14" s="78">
        <f t="shared" si="0"/>
        <v>0.12118371899993996</v>
      </c>
      <c r="E14" s="30">
        <v>11102609</v>
      </c>
      <c r="F14" s="78">
        <f t="shared" si="1"/>
        <v>0.31834058097090584</v>
      </c>
      <c r="G14" s="30">
        <v>0</v>
      </c>
      <c r="H14" s="78">
        <f t="shared" si="2"/>
        <v>0</v>
      </c>
      <c r="I14" s="80">
        <f t="shared" si="3"/>
        <v>13720020</v>
      </c>
      <c r="J14" s="282">
        <f t="shared" si="4"/>
        <v>0.22313052596304417</v>
      </c>
      <c r="K14" s="380" t="s">
        <v>263</v>
      </c>
      <c r="L14" s="410"/>
      <c r="M14" s="410"/>
      <c r="N14" s="410"/>
      <c r="O14" s="410"/>
      <c r="P14" s="410"/>
    </row>
    <row r="15" spans="2:22" ht="35.1" customHeight="1">
      <c r="B15" s="49" t="s">
        <v>137</v>
      </c>
      <c r="C15" s="30">
        <v>47931329</v>
      </c>
      <c r="D15" s="78">
        <f t="shared" si="0"/>
        <v>2.2191763940893017</v>
      </c>
      <c r="E15" s="30">
        <v>120788938</v>
      </c>
      <c r="F15" s="78">
        <f t="shared" si="1"/>
        <v>3.4633319697900489</v>
      </c>
      <c r="G15" s="30">
        <v>0</v>
      </c>
      <c r="H15" s="78">
        <f t="shared" si="2"/>
        <v>0</v>
      </c>
      <c r="I15" s="80">
        <f t="shared" si="3"/>
        <v>168720267</v>
      </c>
      <c r="J15" s="282">
        <f t="shared" si="4"/>
        <v>2.7439203380414345</v>
      </c>
      <c r="K15" s="380" t="s">
        <v>264</v>
      </c>
      <c r="L15" s="410"/>
      <c r="M15" s="410"/>
      <c r="N15" s="410"/>
      <c r="O15" s="410"/>
      <c r="P15" s="410"/>
    </row>
    <row r="16" spans="2:22" s="94" customFormat="1" ht="35.1" customHeight="1">
      <c r="B16" s="49" t="s">
        <v>7</v>
      </c>
      <c r="C16" s="30">
        <v>11591254</v>
      </c>
      <c r="D16" s="78">
        <f t="shared" si="0"/>
        <v>0.53666438614070555</v>
      </c>
      <c r="E16" s="30">
        <v>353982534</v>
      </c>
      <c r="F16" s="78">
        <f t="shared" si="1"/>
        <v>10.149596867467226</v>
      </c>
      <c r="G16" s="30">
        <v>1054744</v>
      </c>
      <c r="H16" s="78">
        <f t="shared" si="2"/>
        <v>0.21037869729275074</v>
      </c>
      <c r="I16" s="80">
        <f t="shared" si="3"/>
        <v>366628532</v>
      </c>
      <c r="J16" s="282">
        <f t="shared" si="4"/>
        <v>5.9625290034722074</v>
      </c>
      <c r="K16" s="380" t="s">
        <v>215</v>
      </c>
      <c r="L16" s="410"/>
      <c r="M16" s="410"/>
      <c r="N16" s="410"/>
      <c r="O16" s="410"/>
      <c r="P16" s="410"/>
      <c r="V16" s="53"/>
    </row>
    <row r="17" spans="2:27" ht="35.1" customHeight="1">
      <c r="B17" s="49" t="s">
        <v>8</v>
      </c>
      <c r="C17" s="30">
        <v>5454871</v>
      </c>
      <c r="D17" s="78">
        <f t="shared" si="0"/>
        <v>0.25255550406295441</v>
      </c>
      <c r="E17" s="30">
        <v>12850023</v>
      </c>
      <c r="F17" s="78">
        <f t="shared" si="1"/>
        <v>0.36844347011675382</v>
      </c>
      <c r="G17" s="30">
        <v>12401</v>
      </c>
      <c r="H17" s="78">
        <f t="shared" si="2"/>
        <v>2.4734970998909708E-3</v>
      </c>
      <c r="I17" s="80">
        <f t="shared" si="3"/>
        <v>18317295</v>
      </c>
      <c r="J17" s="282">
        <f t="shared" si="4"/>
        <v>0.29789662606688899</v>
      </c>
      <c r="K17" s="380" t="s">
        <v>186</v>
      </c>
      <c r="L17" s="410"/>
      <c r="M17" s="410"/>
      <c r="N17" s="410"/>
      <c r="O17" s="410"/>
      <c r="P17" s="410"/>
    </row>
    <row r="18" spans="2:27" ht="35.1" customHeight="1">
      <c r="B18" s="49" t="s">
        <v>9</v>
      </c>
      <c r="C18" s="30">
        <v>34441918</v>
      </c>
      <c r="D18" s="78">
        <f t="shared" si="0"/>
        <v>1.5946290868079083</v>
      </c>
      <c r="E18" s="30">
        <v>76128985</v>
      </c>
      <c r="F18" s="78">
        <f t="shared" si="1"/>
        <v>2.1828153467014264</v>
      </c>
      <c r="G18" s="30">
        <v>739634</v>
      </c>
      <c r="H18" s="78">
        <f t="shared" si="2"/>
        <v>0.1475270183034238</v>
      </c>
      <c r="I18" s="80">
        <f t="shared" si="3"/>
        <v>111310537</v>
      </c>
      <c r="J18" s="282">
        <f t="shared" si="4"/>
        <v>1.8102581968567746</v>
      </c>
      <c r="K18" s="380" t="s">
        <v>216</v>
      </c>
      <c r="L18" s="410"/>
      <c r="M18" s="410"/>
      <c r="N18" s="410"/>
      <c r="O18" s="410"/>
      <c r="P18" s="410"/>
    </row>
    <row r="19" spans="2:27" ht="35.1" customHeight="1">
      <c r="B19" s="49" t="s">
        <v>10</v>
      </c>
      <c r="C19" s="30">
        <v>99085760</v>
      </c>
      <c r="D19" s="78">
        <f t="shared" si="0"/>
        <v>4.5875794427147634</v>
      </c>
      <c r="E19" s="30">
        <v>155800042</v>
      </c>
      <c r="F19" s="78">
        <f t="shared" si="1"/>
        <v>4.46719107964367</v>
      </c>
      <c r="G19" s="30">
        <v>36661610</v>
      </c>
      <c r="H19" s="78">
        <f t="shared" si="2"/>
        <v>7.3125059279359572</v>
      </c>
      <c r="I19" s="80">
        <f t="shared" si="3"/>
        <v>291547412</v>
      </c>
      <c r="J19" s="282">
        <f t="shared" si="4"/>
        <v>4.7414746758914585</v>
      </c>
      <c r="K19" s="380" t="s">
        <v>188</v>
      </c>
      <c r="L19" s="410"/>
      <c r="M19" s="410"/>
      <c r="N19" s="410"/>
      <c r="O19" s="410"/>
      <c r="P19" s="410"/>
    </row>
    <row r="20" spans="2:27" s="94" customFormat="1" ht="35.1" customHeight="1">
      <c r="B20" s="49" t="s">
        <v>11</v>
      </c>
      <c r="C20" s="30">
        <v>82887635</v>
      </c>
      <c r="D20" s="78">
        <f t="shared" si="0"/>
        <v>3.8376211716117909</v>
      </c>
      <c r="E20" s="30">
        <v>115170545</v>
      </c>
      <c r="F20" s="78">
        <f t="shared" si="1"/>
        <v>3.3022380780982066</v>
      </c>
      <c r="G20" s="30">
        <v>15364203</v>
      </c>
      <c r="H20" s="78">
        <f t="shared" si="2"/>
        <v>3.0645360505310983</v>
      </c>
      <c r="I20" s="80">
        <f t="shared" si="3"/>
        <v>213422383</v>
      </c>
      <c r="J20" s="282">
        <f t="shared" si="4"/>
        <v>3.4709168478672954</v>
      </c>
      <c r="K20" s="380" t="s">
        <v>217</v>
      </c>
      <c r="L20" s="410"/>
      <c r="M20" s="410"/>
      <c r="N20" s="410"/>
      <c r="O20" s="410"/>
      <c r="P20" s="410"/>
      <c r="Q20" s="87"/>
      <c r="R20" s="87"/>
      <c r="S20" s="87"/>
      <c r="T20" s="87"/>
      <c r="U20" s="87"/>
      <c r="V20" s="53"/>
      <c r="W20" s="87"/>
      <c r="X20" s="87"/>
      <c r="Y20" s="87"/>
      <c r="Z20" s="87"/>
      <c r="AA20" s="87"/>
    </row>
    <row r="21" spans="2:27" ht="35.1" customHeight="1">
      <c r="B21" s="49" t="s">
        <v>12</v>
      </c>
      <c r="C21" s="30">
        <v>64513979</v>
      </c>
      <c r="D21" s="78">
        <f t="shared" si="0"/>
        <v>2.9869378185940336</v>
      </c>
      <c r="E21" s="30">
        <v>301113729</v>
      </c>
      <c r="F21" s="78">
        <f t="shared" si="1"/>
        <v>8.633711177992117</v>
      </c>
      <c r="G21" s="30">
        <v>14242703</v>
      </c>
      <c r="H21" s="78">
        <f t="shared" si="2"/>
        <v>2.8408422357155412</v>
      </c>
      <c r="I21" s="80">
        <f t="shared" si="3"/>
        <v>379870411</v>
      </c>
      <c r="J21" s="282">
        <f t="shared" si="4"/>
        <v>6.1778834582039792</v>
      </c>
      <c r="K21" s="380" t="s">
        <v>218</v>
      </c>
      <c r="L21" s="410"/>
      <c r="M21" s="410"/>
      <c r="N21" s="410"/>
      <c r="O21" s="410"/>
      <c r="P21" s="410"/>
    </row>
    <row r="22" spans="2:27" ht="35.1" customHeight="1">
      <c r="B22" s="62" t="s">
        <v>13</v>
      </c>
      <c r="C22" s="30">
        <v>946010271</v>
      </c>
      <c r="D22" s="78">
        <f t="shared" si="0"/>
        <v>43.799404393089603</v>
      </c>
      <c r="E22" s="30">
        <v>1035664250</v>
      </c>
      <c r="F22" s="78">
        <f t="shared" si="1"/>
        <v>29.69517876706254</v>
      </c>
      <c r="G22" s="30">
        <v>293355060</v>
      </c>
      <c r="H22" s="78">
        <f t="shared" si="2"/>
        <v>58.512449814397357</v>
      </c>
      <c r="I22" s="80">
        <f t="shared" si="3"/>
        <v>2275029581</v>
      </c>
      <c r="J22" s="282">
        <f t="shared" si="4"/>
        <v>36.999111297943735</v>
      </c>
      <c r="K22" s="380" t="s">
        <v>191</v>
      </c>
      <c r="L22" s="410"/>
      <c r="M22" s="410"/>
      <c r="N22" s="410"/>
      <c r="O22" s="410"/>
      <c r="P22" s="410"/>
    </row>
    <row r="23" spans="2:27" ht="35.1" customHeight="1" thickBot="1">
      <c r="B23" s="276" t="s">
        <v>28</v>
      </c>
      <c r="C23" s="123">
        <f t="shared" ref="C23:H23" si="5">SUM(C8:C22)</f>
        <v>2159870173</v>
      </c>
      <c r="D23" s="125">
        <f t="shared" si="5"/>
        <v>100.00000004629908</v>
      </c>
      <c r="E23" s="123">
        <f t="shared" si="5"/>
        <v>3487651172</v>
      </c>
      <c r="F23" s="125">
        <f t="shared" si="5"/>
        <v>100.00000002867259</v>
      </c>
      <c r="G23" s="123">
        <f t="shared" si="5"/>
        <v>501354942.39175099</v>
      </c>
      <c r="H23" s="125">
        <f t="shared" si="5"/>
        <v>99.999999679219485</v>
      </c>
      <c r="I23" s="123">
        <f>SUM(C23:H23)</f>
        <v>6148876587.3917513</v>
      </c>
      <c r="J23" s="125">
        <f>SUM(J8:J22)</f>
        <v>100.0000000063711</v>
      </c>
      <c r="K23" s="381" t="s">
        <v>192</v>
      </c>
      <c r="L23" s="411"/>
      <c r="M23" s="411"/>
      <c r="N23" s="411"/>
      <c r="O23" s="411"/>
      <c r="P23" s="411"/>
    </row>
    <row r="24" spans="2:27" ht="6" customHeight="1" thickTop="1">
      <c r="B24" s="112"/>
      <c r="C24" s="114"/>
      <c r="D24" s="114"/>
      <c r="E24" s="114"/>
      <c r="F24" s="114"/>
      <c r="G24" s="114"/>
      <c r="H24" s="114"/>
      <c r="I24" s="114"/>
      <c r="J24" s="124"/>
    </row>
    <row r="25" spans="2:27" ht="1.5" customHeight="1">
      <c r="B25" s="542"/>
      <c r="C25" s="542"/>
      <c r="D25" s="542"/>
      <c r="E25" s="542"/>
      <c r="F25" s="542"/>
      <c r="G25" s="542"/>
      <c r="H25" s="542"/>
      <c r="I25" s="542"/>
      <c r="J25" s="277"/>
    </row>
    <row r="26" spans="2:27" ht="7.5" hidden="1" customHeight="1">
      <c r="B26" s="542"/>
      <c r="C26" s="542"/>
      <c r="D26" s="542"/>
      <c r="E26" s="542"/>
      <c r="F26" s="542"/>
      <c r="G26" s="542"/>
      <c r="H26" s="542"/>
      <c r="I26" s="542"/>
      <c r="J26" s="277"/>
    </row>
    <row r="27" spans="2:27" ht="40.5" customHeight="1">
      <c r="B27" s="542" t="s">
        <v>334</v>
      </c>
      <c r="C27" s="542"/>
      <c r="D27" s="542"/>
      <c r="E27" s="542"/>
      <c r="F27" s="541" t="s">
        <v>335</v>
      </c>
      <c r="G27" s="541"/>
      <c r="H27" s="541"/>
      <c r="I27" s="541"/>
      <c r="J27" s="541"/>
      <c r="K27" s="541"/>
      <c r="L27" s="404"/>
      <c r="M27" s="404"/>
      <c r="N27" s="404"/>
      <c r="O27" s="404"/>
      <c r="P27" s="404"/>
    </row>
    <row r="28" spans="2:27" ht="1.2" customHeight="1">
      <c r="B28" s="395"/>
      <c r="C28" s="395"/>
      <c r="D28" s="395"/>
      <c r="E28" s="395"/>
      <c r="F28" s="405"/>
      <c r="G28" s="405"/>
      <c r="H28" s="405"/>
      <c r="I28" s="405"/>
      <c r="J28" s="405"/>
      <c r="K28" s="406"/>
      <c r="L28" s="406"/>
      <c r="M28" s="406"/>
      <c r="N28" s="406"/>
      <c r="O28" s="406"/>
      <c r="P28" s="406"/>
    </row>
    <row r="29" spans="2:27" ht="34.799999999999997" customHeight="1">
      <c r="B29" s="542" t="s">
        <v>338</v>
      </c>
      <c r="C29" s="542"/>
      <c r="D29" s="542"/>
      <c r="E29" s="542"/>
      <c r="F29" s="541" t="s">
        <v>327</v>
      </c>
      <c r="G29" s="541"/>
      <c r="H29" s="541"/>
      <c r="I29" s="541"/>
      <c r="J29" s="541"/>
      <c r="K29" s="541"/>
      <c r="L29" s="404"/>
      <c r="M29" s="404"/>
      <c r="N29" s="404"/>
      <c r="O29" s="404"/>
      <c r="P29" s="404"/>
    </row>
    <row r="30" spans="2:27" ht="47.4" customHeight="1">
      <c r="B30" s="542" t="s">
        <v>326</v>
      </c>
      <c r="C30" s="542"/>
      <c r="D30" s="542"/>
      <c r="E30" s="542"/>
      <c r="F30" s="541" t="s">
        <v>328</v>
      </c>
      <c r="G30" s="541"/>
      <c r="H30" s="541"/>
      <c r="I30" s="541"/>
      <c r="J30" s="541"/>
      <c r="K30" s="541"/>
      <c r="L30" s="404"/>
      <c r="M30" s="404"/>
      <c r="N30" s="404"/>
      <c r="O30" s="404"/>
      <c r="P30" s="404"/>
    </row>
    <row r="31" spans="2:27" ht="18.75" customHeight="1">
      <c r="B31" s="475" t="s">
        <v>121</v>
      </c>
      <c r="C31" s="475"/>
      <c r="D31" s="475"/>
      <c r="E31" s="475"/>
      <c r="F31" s="407"/>
      <c r="G31" s="549" t="s">
        <v>222</v>
      </c>
      <c r="H31" s="549"/>
      <c r="I31" s="549"/>
      <c r="J31" s="549"/>
      <c r="K31" s="549"/>
      <c r="L31" s="408"/>
      <c r="M31" s="408"/>
      <c r="N31" s="408"/>
      <c r="O31" s="408"/>
      <c r="P31" s="408"/>
    </row>
    <row r="32" spans="2:27" ht="2.4" customHeight="1">
      <c r="B32" s="275"/>
      <c r="C32" s="275"/>
      <c r="D32" s="284"/>
      <c r="E32" s="275"/>
      <c r="F32" s="284"/>
      <c r="G32" s="275"/>
      <c r="H32" s="284"/>
      <c r="I32" s="275"/>
      <c r="J32" s="275"/>
    </row>
    <row r="33" spans="2:16" ht="21.75" customHeight="1">
      <c r="B33" s="480" t="s">
        <v>35</v>
      </c>
      <c r="C33" s="480"/>
      <c r="D33" s="480"/>
      <c r="E33" s="480"/>
      <c r="F33" s="283"/>
      <c r="G33" s="352">
        <v>25</v>
      </c>
      <c r="H33" s="494" t="s">
        <v>200</v>
      </c>
      <c r="I33" s="494"/>
      <c r="J33" s="494"/>
      <c r="K33" s="494"/>
      <c r="L33" s="396"/>
      <c r="M33" s="396"/>
      <c r="N33" s="396"/>
      <c r="O33" s="396"/>
      <c r="P33" s="396"/>
    </row>
    <row r="34" spans="2:16">
      <c r="C34" s="275"/>
      <c r="D34" s="284"/>
      <c r="E34" s="275"/>
      <c r="F34" s="284"/>
      <c r="G34" s="275"/>
      <c r="H34" s="284"/>
      <c r="I34" s="275"/>
      <c r="J34" s="275"/>
    </row>
  </sheetData>
  <mergeCells count="23">
    <mergeCell ref="B1:K1"/>
    <mergeCell ref="J3:K3"/>
    <mergeCell ref="B2:K2"/>
    <mergeCell ref="B4:B7"/>
    <mergeCell ref="C5:H5"/>
    <mergeCell ref="I4:I5"/>
    <mergeCell ref="I6:I7"/>
    <mergeCell ref="J4:J5"/>
    <mergeCell ref="J6:J7"/>
    <mergeCell ref="K4:K7"/>
    <mergeCell ref="B3:C3"/>
    <mergeCell ref="C4:H4"/>
    <mergeCell ref="B25:I26"/>
    <mergeCell ref="B33:E33"/>
    <mergeCell ref="B27:E27"/>
    <mergeCell ref="B29:E29"/>
    <mergeCell ref="B31:E31"/>
    <mergeCell ref="F27:K27"/>
    <mergeCell ref="F29:K29"/>
    <mergeCell ref="G31:K31"/>
    <mergeCell ref="B30:E30"/>
    <mergeCell ref="H33:K33"/>
    <mergeCell ref="F30:K30"/>
  </mergeCells>
  <printOptions horizontalCentered="1"/>
  <pageMargins left="0.7" right="0.75" top="0.55118110236220497" bottom="0.35433070866141703" header="0.31496062992126" footer="0.31496062992126"/>
  <pageSetup paperSize="9" scale="87" orientation="portrait" horizontalDpi="300" verticalDpi="3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7030A0"/>
  </sheetPr>
  <dimension ref="B1:T35"/>
  <sheetViews>
    <sheetView rightToLeft="1" view="pageBreakPreview" zoomScale="120" zoomScaleNormal="100" zoomScaleSheetLayoutView="120" workbookViewId="0">
      <selection activeCell="I25" sqref="I25"/>
    </sheetView>
  </sheetViews>
  <sheetFormatPr defaultColWidth="9.109375" defaultRowHeight="13.2"/>
  <cols>
    <col min="1" max="1" width="3.88671875" style="53" customWidth="1"/>
    <col min="2" max="7" width="15.77734375" style="53" customWidth="1"/>
    <col min="8" max="16384" width="9.109375" style="53"/>
  </cols>
  <sheetData>
    <row r="1" spans="2:20" ht="48.75" customHeight="1">
      <c r="B1" s="497" t="s">
        <v>172</v>
      </c>
      <c r="C1" s="497"/>
      <c r="D1" s="497"/>
      <c r="E1" s="497"/>
      <c r="F1" s="497"/>
      <c r="G1" s="497"/>
    </row>
    <row r="2" spans="2:20" ht="54.6" customHeight="1">
      <c r="B2" s="498" t="s">
        <v>273</v>
      </c>
      <c r="C2" s="498"/>
      <c r="D2" s="498"/>
      <c r="E2" s="498"/>
      <c r="F2" s="498"/>
      <c r="G2" s="498"/>
    </row>
    <row r="3" spans="2:20" ht="27" customHeight="1" thickBot="1">
      <c r="B3" s="544" t="s">
        <v>157</v>
      </c>
      <c r="C3" s="544"/>
      <c r="D3" s="51"/>
      <c r="E3" s="111"/>
      <c r="F3" s="521" t="s">
        <v>274</v>
      </c>
      <c r="G3" s="521"/>
    </row>
    <row r="4" spans="2:20" ht="28.8" customHeight="1" thickTop="1">
      <c r="B4" s="466" t="s">
        <v>14</v>
      </c>
      <c r="C4" s="311" t="s">
        <v>48</v>
      </c>
      <c r="D4" s="311" t="s">
        <v>49</v>
      </c>
      <c r="E4" s="311" t="s">
        <v>47</v>
      </c>
      <c r="F4" s="311" t="s">
        <v>72</v>
      </c>
      <c r="G4" s="449" t="s">
        <v>176</v>
      </c>
    </row>
    <row r="5" spans="2:20" ht="40.200000000000003" customHeight="1">
      <c r="B5" s="468"/>
      <c r="C5" s="423" t="s">
        <v>265</v>
      </c>
      <c r="D5" s="423" t="s">
        <v>266</v>
      </c>
      <c r="E5" s="423" t="s">
        <v>267</v>
      </c>
      <c r="F5" s="423" t="s">
        <v>192</v>
      </c>
      <c r="G5" s="451"/>
    </row>
    <row r="6" spans="2:20" ht="30" customHeight="1">
      <c r="B6" s="48" t="s">
        <v>15</v>
      </c>
      <c r="C6" s="78">
        <f>'9'!C8/468151692*100</f>
        <v>6.2219580742218064</v>
      </c>
      <c r="D6" s="78">
        <f>'9'!E8/468151692*100</f>
        <v>86.755920771082046</v>
      </c>
      <c r="E6" s="78">
        <f>'9'!G8/468151692*100</f>
        <v>7.0221211546961575</v>
      </c>
      <c r="F6" s="282">
        <f t="shared" ref="F6:F21" si="0">SUM(C6:E6)</f>
        <v>100</v>
      </c>
      <c r="G6" s="379" t="s">
        <v>177</v>
      </c>
    </row>
    <row r="7" spans="2:20" s="94" customFormat="1" ht="30" customHeight="1">
      <c r="B7" s="49" t="s">
        <v>1</v>
      </c>
      <c r="C7" s="65">
        <f>'9'!C9/117844133*100</f>
        <v>15.170666154419415</v>
      </c>
      <c r="D7" s="65">
        <f>'9'!E9/117844133*100</f>
        <v>75.249078373719286</v>
      </c>
      <c r="E7" s="65">
        <f>'9'!G9/117844133*100</f>
        <v>9.5802554718612924</v>
      </c>
      <c r="F7" s="282">
        <f t="shared" si="0"/>
        <v>99.999999999999986</v>
      </c>
      <c r="G7" s="380" t="s">
        <v>178</v>
      </c>
      <c r="J7" s="53"/>
      <c r="T7" s="351"/>
    </row>
    <row r="8" spans="2:20" ht="30" customHeight="1">
      <c r="B8" s="49" t="s">
        <v>2</v>
      </c>
      <c r="C8" s="65">
        <f>'9'!C10/371421523*100</f>
        <v>96.508272623716522</v>
      </c>
      <c r="D8" s="65">
        <f>'9'!E10/371421523*100</f>
        <v>3.1883884661148194</v>
      </c>
      <c r="E8" s="65">
        <f>'9'!G10/371421523*100</f>
        <v>0.3033389101686495</v>
      </c>
      <c r="F8" s="282">
        <f t="shared" si="0"/>
        <v>99.999999999999986</v>
      </c>
      <c r="G8" s="380" t="s">
        <v>179</v>
      </c>
    </row>
    <row r="9" spans="2:20" ht="30" customHeight="1">
      <c r="B9" s="49" t="s">
        <v>24</v>
      </c>
      <c r="C9" s="65">
        <f>'9'!C11/922609285*100</f>
        <v>23.016437125928121</v>
      </c>
      <c r="D9" s="65">
        <f>'9'!E11/922609285*100</f>
        <v>74.464821368018207</v>
      </c>
      <c r="E9" s="65">
        <f>'9'!G11/922609285*100</f>
        <v>2.5187415485148734</v>
      </c>
      <c r="F9" s="282">
        <f t="shared" si="0"/>
        <v>100.0000000424612</v>
      </c>
      <c r="G9" s="380" t="s">
        <v>180</v>
      </c>
    </row>
    <row r="10" spans="2:20" ht="30" customHeight="1">
      <c r="B10" s="49" t="s">
        <v>135</v>
      </c>
      <c r="C10" s="65">
        <f>'9'!C12/106624546*100</f>
        <v>0.16923964206140676</v>
      </c>
      <c r="D10" s="65">
        <f>'9'!E12/106624546*100</f>
        <v>99.830761295808941</v>
      </c>
      <c r="E10" s="65">
        <f>'9'!G12/106624546*100</f>
        <v>0</v>
      </c>
      <c r="F10" s="282">
        <f t="shared" si="0"/>
        <v>100.00000093787035</v>
      </c>
      <c r="G10" s="380" t="s">
        <v>262</v>
      </c>
    </row>
    <row r="11" spans="2:20" ht="30" customHeight="1">
      <c r="B11" s="49" t="s">
        <v>4</v>
      </c>
      <c r="C11" s="65">
        <f>'9'!C13/323658670*100</f>
        <v>76.421580178896491</v>
      </c>
      <c r="D11" s="65">
        <f>'9'!E13/323658670*100</f>
        <v>1.5194306396921176</v>
      </c>
      <c r="E11" s="65">
        <f>'9'!G13/323658670*100</f>
        <v>22.058988872443923</v>
      </c>
      <c r="F11" s="282">
        <f t="shared" si="0"/>
        <v>99.999999691032528</v>
      </c>
      <c r="G11" s="380" t="s">
        <v>182</v>
      </c>
    </row>
    <row r="12" spans="2:20" ht="30" customHeight="1">
      <c r="B12" s="49" t="s">
        <v>136</v>
      </c>
      <c r="C12" s="65">
        <f>'9'!C14/13720020*100</f>
        <v>19.077311840653294</v>
      </c>
      <c r="D12" s="65">
        <f>'9'!E14/13720020*100</f>
        <v>80.922688159346706</v>
      </c>
      <c r="E12" s="65">
        <f>'9'!G14/13720020*100</f>
        <v>0</v>
      </c>
      <c r="F12" s="282">
        <f t="shared" si="0"/>
        <v>100</v>
      </c>
      <c r="G12" s="380" t="s">
        <v>263</v>
      </c>
    </row>
    <row r="13" spans="2:20" ht="30" customHeight="1">
      <c r="B13" s="49" t="s">
        <v>137</v>
      </c>
      <c r="C13" s="65">
        <f>'9'!C15/168720267*100</f>
        <v>28.408756015067237</v>
      </c>
      <c r="D13" s="65">
        <f>'9'!E15/168720267*100</f>
        <v>71.59124398493276</v>
      </c>
      <c r="E13" s="65">
        <f>'9'!G15/168720267*100</f>
        <v>0</v>
      </c>
      <c r="F13" s="282">
        <f t="shared" si="0"/>
        <v>100</v>
      </c>
      <c r="G13" s="380" t="s">
        <v>264</v>
      </c>
    </row>
    <row r="14" spans="2:20" s="94" customFormat="1" ht="30" customHeight="1">
      <c r="B14" s="49" t="s">
        <v>7</v>
      </c>
      <c r="C14" s="65">
        <f>'9'!C16/366628533*100</f>
        <v>3.1615798980926564</v>
      </c>
      <c r="D14" s="65">
        <f>'9'!E16/366628533*100</f>
        <v>96.550732454857794</v>
      </c>
      <c r="E14" s="65">
        <f>'9'!G16/366628533*100</f>
        <v>0.28768737429391511</v>
      </c>
      <c r="F14" s="282">
        <f t="shared" si="0"/>
        <v>99.999999727244358</v>
      </c>
      <c r="G14" s="380" t="s">
        <v>215</v>
      </c>
      <c r="J14" s="53"/>
    </row>
    <row r="15" spans="2:20" ht="30" customHeight="1">
      <c r="B15" s="49" t="s">
        <v>8</v>
      </c>
      <c r="C15" s="65">
        <f>'9'!C17/18317294*100</f>
        <v>29.779895436520263</v>
      </c>
      <c r="D15" s="65">
        <f>'9'!E17/18317294*100</f>
        <v>70.152408974819096</v>
      </c>
      <c r="E15" s="65">
        <f>'9'!G17/18317294*100</f>
        <v>6.7701047982305682E-2</v>
      </c>
      <c r="F15" s="282">
        <f t="shared" si="0"/>
        <v>100.00000545932167</v>
      </c>
      <c r="G15" s="380" t="s">
        <v>186</v>
      </c>
    </row>
    <row r="16" spans="2:20" ht="30" customHeight="1">
      <c r="B16" s="49" t="s">
        <v>9</v>
      </c>
      <c r="C16" s="65">
        <f>'9'!C18/111310537*100</f>
        <v>30.94219013605154</v>
      </c>
      <c r="D16" s="65">
        <f>'9'!E18/111310537*100</f>
        <v>68.393331890942193</v>
      </c>
      <c r="E16" s="65">
        <f>'9'!G18/111310537*100</f>
        <v>0.6644779730062752</v>
      </c>
      <c r="F16" s="282">
        <f t="shared" si="0"/>
        <v>100</v>
      </c>
      <c r="G16" s="380" t="s">
        <v>216</v>
      </c>
    </row>
    <row r="17" spans="2:15" ht="30" customHeight="1">
      <c r="B17" s="49" t="s">
        <v>10</v>
      </c>
      <c r="C17" s="65">
        <f>'9'!C19/291547413*100</f>
        <v>33.98615648151884</v>
      </c>
      <c r="D17" s="65">
        <f>'9'!E19/291547413*100</f>
        <v>53.439006848604755</v>
      </c>
      <c r="E17" s="65">
        <f>'9'!G19/291547413*100</f>
        <v>12.574836326879019</v>
      </c>
      <c r="F17" s="282">
        <f t="shared" si="0"/>
        <v>99.999999657002618</v>
      </c>
      <c r="G17" s="380" t="s">
        <v>188</v>
      </c>
    </row>
    <row r="18" spans="2:15" s="94" customFormat="1" ht="30" customHeight="1">
      <c r="B18" s="49" t="s">
        <v>11</v>
      </c>
      <c r="C18" s="65">
        <f>'9'!C20/213422383*100</f>
        <v>38.837367400213125</v>
      </c>
      <c r="D18" s="65">
        <f>'9'!E20/213422383*100</f>
        <v>53.963667437824455</v>
      </c>
      <c r="E18" s="65">
        <f>'9'!G20/213422383*100</f>
        <v>7.1989651619624171</v>
      </c>
      <c r="F18" s="282">
        <f t="shared" si="0"/>
        <v>100</v>
      </c>
      <c r="G18" s="380" t="s">
        <v>217</v>
      </c>
      <c r="H18" s="87"/>
      <c r="I18" s="87"/>
      <c r="J18" s="53"/>
      <c r="K18" s="87"/>
      <c r="L18" s="87"/>
      <c r="M18" s="87"/>
      <c r="N18" s="87"/>
      <c r="O18" s="87"/>
    </row>
    <row r="19" spans="2:15" ht="30" customHeight="1">
      <c r="B19" s="49" t="s">
        <v>12</v>
      </c>
      <c r="C19" s="65">
        <f>'9'!C21/379870411*100</f>
        <v>16.983154552671913</v>
      </c>
      <c r="D19" s="65">
        <f>'9'!E21/379870411*100</f>
        <v>79.267487090485716</v>
      </c>
      <c r="E19" s="65">
        <f>'9'!G21/379870411*100</f>
        <v>3.7493583568423814</v>
      </c>
      <c r="F19" s="282">
        <f t="shared" si="0"/>
        <v>100</v>
      </c>
      <c r="G19" s="380" t="s">
        <v>218</v>
      </c>
    </row>
    <row r="20" spans="2:15" ht="30" customHeight="1">
      <c r="B20" s="62" t="s">
        <v>13</v>
      </c>
      <c r="C20" s="65">
        <f>'9'!C22/2275029581*100</f>
        <v>41.582328375008501</v>
      </c>
      <c r="D20" s="65">
        <f>'9'!E22/2275029581*100</f>
        <v>45.52311137619445</v>
      </c>
      <c r="E20" s="65">
        <f>'9'!G22/2275029581*100</f>
        <v>12.894560248797045</v>
      </c>
      <c r="F20" s="188">
        <f t="shared" si="0"/>
        <v>100</v>
      </c>
      <c r="G20" s="380" t="s">
        <v>191</v>
      </c>
    </row>
    <row r="21" spans="2:15" ht="30" customHeight="1" thickBot="1">
      <c r="B21" s="122" t="s">
        <v>28</v>
      </c>
      <c r="C21" s="125">
        <f>'9'!C23/6148876287*100</f>
        <v>35.12625839564236</v>
      </c>
      <c r="D21" s="125">
        <f>'9'!E23/6148876287*100</f>
        <v>56.72013891991319</v>
      </c>
      <c r="E21" s="125">
        <f>'9'!G23/6148876287*100</f>
        <v>8.1536026908155446</v>
      </c>
      <c r="F21" s="125">
        <f t="shared" si="0"/>
        <v>100.0000000063711</v>
      </c>
      <c r="G21" s="381" t="s">
        <v>192</v>
      </c>
    </row>
    <row r="22" spans="2:15" ht="5.25" customHeight="1" thickTop="1">
      <c r="B22" s="112"/>
      <c r="C22" s="114"/>
      <c r="D22" s="114"/>
      <c r="E22" s="114"/>
      <c r="F22" s="114"/>
    </row>
    <row r="23" spans="2:15" ht="4.5" hidden="1" customHeight="1">
      <c r="B23" s="542"/>
      <c r="C23" s="542"/>
      <c r="D23" s="542"/>
      <c r="E23" s="542"/>
      <c r="F23" s="542"/>
    </row>
    <row r="24" spans="2:15" ht="7.5" hidden="1" customHeight="1">
      <c r="B24" s="542"/>
      <c r="C24" s="542"/>
      <c r="D24" s="542"/>
      <c r="E24" s="542"/>
      <c r="F24" s="542"/>
    </row>
    <row r="25" spans="2:15" ht="66.599999999999994" customHeight="1">
      <c r="B25" s="513" t="s">
        <v>334</v>
      </c>
      <c r="C25" s="513"/>
      <c r="D25" s="513"/>
      <c r="E25" s="518" t="s">
        <v>336</v>
      </c>
      <c r="F25" s="518"/>
      <c r="G25" s="518"/>
      <c r="H25" s="388"/>
      <c r="I25" s="388"/>
      <c r="J25" s="388"/>
    </row>
    <row r="26" spans="2:15" ht="6.6" customHeight="1">
      <c r="B26" s="372"/>
      <c r="C26" s="372"/>
      <c r="D26" s="372"/>
      <c r="E26" s="386"/>
      <c r="F26" s="386"/>
      <c r="G26" s="386"/>
      <c r="H26" s="386"/>
      <c r="I26" s="386"/>
      <c r="J26" s="387"/>
    </row>
    <row r="27" spans="2:15" ht="36.6" customHeight="1">
      <c r="B27" s="513" t="s">
        <v>337</v>
      </c>
      <c r="C27" s="513"/>
      <c r="D27" s="513"/>
      <c r="E27" s="518" t="s">
        <v>327</v>
      </c>
      <c r="F27" s="518"/>
      <c r="G27" s="518"/>
      <c r="H27" s="388"/>
      <c r="I27" s="388"/>
      <c r="J27" s="388"/>
    </row>
    <row r="28" spans="2:15" ht="54" customHeight="1">
      <c r="B28" s="513" t="s">
        <v>329</v>
      </c>
      <c r="C28" s="513"/>
      <c r="D28" s="513"/>
      <c r="E28" s="518" t="s">
        <v>328</v>
      </c>
      <c r="F28" s="518"/>
      <c r="G28" s="518"/>
      <c r="H28" s="388"/>
      <c r="I28" s="388"/>
      <c r="J28" s="388"/>
    </row>
    <row r="29" spans="2:15" ht="31.2" customHeight="1">
      <c r="B29" s="513" t="s">
        <v>121</v>
      </c>
      <c r="C29" s="513"/>
      <c r="D29" s="513"/>
      <c r="E29" s="518" t="s">
        <v>222</v>
      </c>
      <c r="F29" s="518"/>
      <c r="G29" s="518"/>
    </row>
    <row r="30" spans="2:15" ht="15.6" customHeight="1">
      <c r="B30" s="273"/>
      <c r="C30" s="273"/>
      <c r="D30" s="273"/>
      <c r="E30" s="273"/>
      <c r="F30" s="1"/>
    </row>
    <row r="31" spans="2:15" ht="21.75" customHeight="1">
      <c r="B31" s="480" t="s">
        <v>35</v>
      </c>
      <c r="C31" s="480"/>
      <c r="D31" s="352">
        <v>26</v>
      </c>
      <c r="E31" s="494" t="s">
        <v>200</v>
      </c>
      <c r="F31" s="494"/>
      <c r="G31" s="494"/>
    </row>
    <row r="32" spans="2:15">
      <c r="B32" s="343"/>
      <c r="C32" s="343"/>
      <c r="D32" s="343"/>
      <c r="E32" s="343"/>
      <c r="F32" s="79"/>
    </row>
    <row r="33" spans="2:5">
      <c r="B33" s="260"/>
      <c r="C33" s="260"/>
      <c r="D33" s="260"/>
      <c r="E33" s="260"/>
    </row>
    <row r="34" spans="2:5">
      <c r="B34" s="84"/>
      <c r="C34" s="185"/>
      <c r="D34" s="84"/>
      <c r="E34" s="1"/>
    </row>
    <row r="35" spans="2:5">
      <c r="C35" s="79"/>
      <c r="D35" s="79"/>
      <c r="E35" s="79"/>
    </row>
  </sheetData>
  <mergeCells count="17">
    <mergeCell ref="B25:D25"/>
    <mergeCell ref="B27:D27"/>
    <mergeCell ref="B28:D28"/>
    <mergeCell ref="B31:C31"/>
    <mergeCell ref="E31:G31"/>
    <mergeCell ref="B1:G1"/>
    <mergeCell ref="B2:G2"/>
    <mergeCell ref="F3:G3"/>
    <mergeCell ref="B29:D29"/>
    <mergeCell ref="E29:G29"/>
    <mergeCell ref="B3:C3"/>
    <mergeCell ref="B23:F24"/>
    <mergeCell ref="B4:B5"/>
    <mergeCell ref="G4:G5"/>
    <mergeCell ref="E25:G25"/>
    <mergeCell ref="E27:G27"/>
    <mergeCell ref="E28:G28"/>
  </mergeCells>
  <printOptions horizontalCentered="1"/>
  <pageMargins left="0.7" right="0.75" top="0.55118110236220497" bottom="0.35433070866141703" header="0.31496062992126" footer="0.31496062992126"/>
  <pageSetup paperSize="9" scale="90"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sheetData/>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N244"/>
  <sheetViews>
    <sheetView rightToLeft="1" topLeftCell="A9" workbookViewId="0">
      <selection activeCell="K32" sqref="K32"/>
    </sheetView>
  </sheetViews>
  <sheetFormatPr defaultRowHeight="13.2"/>
  <cols>
    <col min="5" max="5" width="13.88671875" customWidth="1"/>
    <col min="6" max="6" width="9" customWidth="1"/>
    <col min="7" max="7" width="8.6640625" customWidth="1"/>
  </cols>
  <sheetData>
    <row r="1" spans="1:14">
      <c r="A1" t="s">
        <v>14</v>
      </c>
      <c r="B1" t="s">
        <v>75</v>
      </c>
      <c r="C1" t="s">
        <v>76</v>
      </c>
      <c r="D1" s="53" t="s">
        <v>77</v>
      </c>
    </row>
    <row r="2" spans="1:14">
      <c r="A2" s="151" t="s">
        <v>13</v>
      </c>
      <c r="B2" t="s">
        <v>78</v>
      </c>
      <c r="C2">
        <v>648</v>
      </c>
      <c r="E2" s="137" t="s">
        <v>80</v>
      </c>
      <c r="F2" s="53" t="s">
        <v>83</v>
      </c>
      <c r="G2" s="53" t="s">
        <v>82</v>
      </c>
    </row>
    <row r="3" spans="1:14">
      <c r="A3" s="53" t="s">
        <v>13</v>
      </c>
      <c r="B3" s="53" t="s">
        <v>78</v>
      </c>
      <c r="C3">
        <v>13</v>
      </c>
      <c r="E3" s="138" t="s">
        <v>78</v>
      </c>
      <c r="F3" s="139">
        <v>2300</v>
      </c>
      <c r="G3" s="139">
        <v>821</v>
      </c>
      <c r="H3" s="139"/>
      <c r="I3" s="139"/>
      <c r="J3" s="139"/>
      <c r="K3" s="139"/>
      <c r="L3" s="139"/>
      <c r="N3" s="139"/>
    </row>
    <row r="4" spans="1:14">
      <c r="A4" s="53" t="s">
        <v>13</v>
      </c>
      <c r="B4" s="53" t="s">
        <v>78</v>
      </c>
      <c r="C4">
        <v>20</v>
      </c>
      <c r="E4" s="138" t="s">
        <v>79</v>
      </c>
      <c r="F4" s="139"/>
      <c r="G4" s="139">
        <v>705</v>
      </c>
    </row>
    <row r="5" spans="1:14">
      <c r="A5" s="53" t="s">
        <v>13</v>
      </c>
      <c r="B5" s="53" t="s">
        <v>78</v>
      </c>
      <c r="C5">
        <v>17</v>
      </c>
      <c r="E5" s="138" t="s">
        <v>85</v>
      </c>
      <c r="F5" s="139">
        <v>125</v>
      </c>
      <c r="G5" s="139">
        <v>280</v>
      </c>
    </row>
    <row r="6" spans="1:14">
      <c r="A6" s="53" t="s">
        <v>13</v>
      </c>
      <c r="B6" s="53" t="s">
        <v>78</v>
      </c>
      <c r="D6">
        <v>300</v>
      </c>
      <c r="E6" s="138" t="s">
        <v>81</v>
      </c>
      <c r="F6" s="139">
        <v>2425</v>
      </c>
      <c r="G6" s="139">
        <v>1806</v>
      </c>
    </row>
    <row r="7" spans="1:14">
      <c r="A7" s="53" t="s">
        <v>13</v>
      </c>
      <c r="B7" s="53" t="s">
        <v>78</v>
      </c>
      <c r="C7">
        <v>23</v>
      </c>
    </row>
    <row r="8" spans="1:14">
      <c r="A8" s="53" t="s">
        <v>13</v>
      </c>
      <c r="B8" s="53" t="s">
        <v>78</v>
      </c>
      <c r="C8">
        <v>100</v>
      </c>
    </row>
    <row r="9" spans="1:14">
      <c r="A9" s="53" t="s">
        <v>13</v>
      </c>
      <c r="B9" s="53" t="s">
        <v>78</v>
      </c>
      <c r="D9">
        <v>2000</v>
      </c>
    </row>
    <row r="10" spans="1:14">
      <c r="A10" s="53" t="s">
        <v>13</v>
      </c>
      <c r="B10" t="s">
        <v>85</v>
      </c>
      <c r="C10">
        <v>280</v>
      </c>
    </row>
    <row r="11" spans="1:14">
      <c r="A11" s="53" t="s">
        <v>13</v>
      </c>
      <c r="B11" t="s">
        <v>85</v>
      </c>
      <c r="D11">
        <v>50</v>
      </c>
    </row>
    <row r="12" spans="1:14">
      <c r="A12" s="53" t="s">
        <v>13</v>
      </c>
      <c r="B12" s="53" t="s">
        <v>85</v>
      </c>
      <c r="D12">
        <v>75</v>
      </c>
    </row>
    <row r="13" spans="1:14">
      <c r="A13" s="53" t="s">
        <v>13</v>
      </c>
      <c r="B13" t="s">
        <v>79</v>
      </c>
      <c r="C13">
        <v>425</v>
      </c>
    </row>
    <row r="14" spans="1:14">
      <c r="A14" s="53" t="s">
        <v>13</v>
      </c>
      <c r="B14" s="53" t="s">
        <v>79</v>
      </c>
      <c r="C14">
        <v>280</v>
      </c>
    </row>
    <row r="16" spans="1:14">
      <c r="A16" s="53" t="s">
        <v>14</v>
      </c>
      <c r="B16" s="53" t="s">
        <v>75</v>
      </c>
      <c r="C16" s="53" t="s">
        <v>76</v>
      </c>
      <c r="D16" s="53" t="s">
        <v>77</v>
      </c>
    </row>
    <row r="17" spans="1:7">
      <c r="A17" s="151" t="s">
        <v>12</v>
      </c>
      <c r="B17" t="s">
        <v>78</v>
      </c>
      <c r="C17">
        <v>130</v>
      </c>
      <c r="E17" s="137" t="s">
        <v>80</v>
      </c>
      <c r="F17" s="53" t="s">
        <v>83</v>
      </c>
      <c r="G17" s="53" t="s">
        <v>82</v>
      </c>
    </row>
    <row r="18" spans="1:7">
      <c r="A18" s="53" t="s">
        <v>12</v>
      </c>
      <c r="B18" s="53" t="s">
        <v>78</v>
      </c>
      <c r="C18">
        <v>15</v>
      </c>
      <c r="E18" s="138" t="s">
        <v>78</v>
      </c>
      <c r="F18" s="139"/>
      <c r="G18" s="139">
        <v>245.5</v>
      </c>
    </row>
    <row r="19" spans="1:7">
      <c r="A19" s="53" t="s">
        <v>12</v>
      </c>
      <c r="B19" s="53" t="s">
        <v>78</v>
      </c>
      <c r="C19">
        <v>25</v>
      </c>
      <c r="E19" s="138" t="s">
        <v>79</v>
      </c>
      <c r="F19" s="139"/>
      <c r="G19" s="139">
        <v>335</v>
      </c>
    </row>
    <row r="20" spans="1:7">
      <c r="A20" s="53" t="s">
        <v>12</v>
      </c>
      <c r="B20" s="53" t="s">
        <v>78</v>
      </c>
      <c r="C20">
        <v>45.5</v>
      </c>
      <c r="E20" s="138" t="s">
        <v>85</v>
      </c>
      <c r="F20" s="139">
        <v>205</v>
      </c>
      <c r="G20" s="139">
        <v>60</v>
      </c>
    </row>
    <row r="21" spans="1:7">
      <c r="A21" s="53" t="s">
        <v>12</v>
      </c>
      <c r="B21" s="53" t="s">
        <v>78</v>
      </c>
      <c r="C21">
        <v>30</v>
      </c>
      <c r="E21" s="138" t="s">
        <v>81</v>
      </c>
      <c r="F21" s="139">
        <v>205</v>
      </c>
      <c r="G21" s="139">
        <v>640.5</v>
      </c>
    </row>
    <row r="22" spans="1:7">
      <c r="A22" s="53" t="s">
        <v>12</v>
      </c>
      <c r="B22" s="53" t="s">
        <v>85</v>
      </c>
      <c r="C22">
        <v>60</v>
      </c>
    </row>
    <row r="23" spans="1:7">
      <c r="A23" s="53" t="s">
        <v>12</v>
      </c>
      <c r="B23" s="53" t="s">
        <v>79</v>
      </c>
      <c r="C23">
        <v>50</v>
      </c>
    </row>
    <row r="24" spans="1:7">
      <c r="A24" s="53" t="s">
        <v>12</v>
      </c>
      <c r="B24" s="53" t="s">
        <v>79</v>
      </c>
      <c r="C24">
        <v>170</v>
      </c>
    </row>
    <row r="25" spans="1:7" s="53" customFormat="1">
      <c r="A25" s="53" t="s">
        <v>12</v>
      </c>
      <c r="B25" s="53" t="s">
        <v>79</v>
      </c>
      <c r="C25" s="53">
        <v>115</v>
      </c>
    </row>
    <row r="26" spans="1:7">
      <c r="A26" s="53" t="s">
        <v>12</v>
      </c>
      <c r="B26" t="s">
        <v>85</v>
      </c>
      <c r="D26">
        <v>80</v>
      </c>
    </row>
    <row r="27" spans="1:7">
      <c r="A27" s="53" t="s">
        <v>12</v>
      </c>
      <c r="B27" s="53" t="s">
        <v>85</v>
      </c>
      <c r="D27">
        <v>125</v>
      </c>
    </row>
    <row r="28" spans="1:7">
      <c r="A28" s="53"/>
    </row>
    <row r="30" spans="1:7">
      <c r="A30" s="53" t="s">
        <v>14</v>
      </c>
      <c r="B30" s="53" t="s">
        <v>75</v>
      </c>
      <c r="C30" s="53" t="s">
        <v>76</v>
      </c>
      <c r="D30" s="53" t="s">
        <v>77</v>
      </c>
      <c r="E30" s="137" t="s">
        <v>80</v>
      </c>
      <c r="F30" s="53" t="s">
        <v>83</v>
      </c>
      <c r="G30" s="53" t="s">
        <v>82</v>
      </c>
    </row>
    <row r="31" spans="1:7">
      <c r="A31" s="151" t="s">
        <v>10</v>
      </c>
      <c r="B31" t="s">
        <v>78</v>
      </c>
      <c r="C31">
        <v>440</v>
      </c>
      <c r="E31" s="138" t="s">
        <v>78</v>
      </c>
      <c r="F31" s="139"/>
      <c r="G31" s="139">
        <v>1080</v>
      </c>
    </row>
    <row r="32" spans="1:7">
      <c r="A32" s="53" t="s">
        <v>10</v>
      </c>
      <c r="B32" s="53" t="s">
        <v>78</v>
      </c>
      <c r="C32">
        <v>20</v>
      </c>
      <c r="E32" s="138" t="s">
        <v>85</v>
      </c>
      <c r="F32" s="139">
        <v>580</v>
      </c>
      <c r="G32" s="139">
        <v>235</v>
      </c>
    </row>
    <row r="33" spans="1:7">
      <c r="A33" s="53" t="s">
        <v>10</v>
      </c>
      <c r="B33" s="53" t="s">
        <v>78</v>
      </c>
      <c r="C33">
        <v>90</v>
      </c>
      <c r="E33" s="138" t="s">
        <v>81</v>
      </c>
      <c r="F33" s="139">
        <v>580</v>
      </c>
      <c r="G33" s="139">
        <v>1315</v>
      </c>
    </row>
    <row r="34" spans="1:7">
      <c r="A34" s="53" t="s">
        <v>10</v>
      </c>
      <c r="B34" s="53" t="s">
        <v>78</v>
      </c>
      <c r="C34">
        <v>255</v>
      </c>
    </row>
    <row r="35" spans="1:7">
      <c r="A35" s="53" t="s">
        <v>10</v>
      </c>
      <c r="B35" s="53" t="s">
        <v>78</v>
      </c>
      <c r="C35">
        <v>275</v>
      </c>
    </row>
    <row r="36" spans="1:7">
      <c r="A36" s="53" t="s">
        <v>10</v>
      </c>
      <c r="B36" s="53" t="s">
        <v>85</v>
      </c>
      <c r="C36">
        <v>235</v>
      </c>
    </row>
    <row r="37" spans="1:7">
      <c r="A37" s="53" t="s">
        <v>10</v>
      </c>
      <c r="B37" s="53" t="s">
        <v>85</v>
      </c>
      <c r="D37">
        <v>375</v>
      </c>
    </row>
    <row r="38" spans="1:7">
      <c r="A38" s="53" t="s">
        <v>10</v>
      </c>
      <c r="B38" s="53" t="s">
        <v>85</v>
      </c>
      <c r="D38">
        <v>205</v>
      </c>
    </row>
    <row r="40" spans="1:7">
      <c r="A40" s="53" t="s">
        <v>14</v>
      </c>
      <c r="B40" s="53" t="s">
        <v>75</v>
      </c>
      <c r="C40" s="53" t="s">
        <v>76</v>
      </c>
      <c r="D40" s="53" t="s">
        <v>77</v>
      </c>
      <c r="E40" s="137" t="s">
        <v>80</v>
      </c>
      <c r="F40" s="53" t="s">
        <v>83</v>
      </c>
      <c r="G40" s="53" t="s">
        <v>82</v>
      </c>
    </row>
    <row r="41" spans="1:7">
      <c r="A41" s="151" t="s">
        <v>3</v>
      </c>
      <c r="B41" t="s">
        <v>78</v>
      </c>
      <c r="C41">
        <v>180</v>
      </c>
      <c r="E41" s="138" t="s">
        <v>78</v>
      </c>
      <c r="F41" s="139">
        <v>25</v>
      </c>
      <c r="G41" s="139">
        <v>2464</v>
      </c>
    </row>
    <row r="42" spans="1:7">
      <c r="B42" s="53" t="s">
        <v>78</v>
      </c>
      <c r="C42">
        <v>40</v>
      </c>
      <c r="E42" s="138" t="s">
        <v>79</v>
      </c>
      <c r="F42" s="139"/>
      <c r="G42" s="139">
        <v>1387</v>
      </c>
    </row>
    <row r="43" spans="1:7">
      <c r="B43" s="53" t="s">
        <v>78</v>
      </c>
      <c r="C43">
        <v>65</v>
      </c>
      <c r="E43" s="138" t="s">
        <v>85</v>
      </c>
      <c r="F43" s="139">
        <v>595</v>
      </c>
      <c r="G43" s="139">
        <v>195</v>
      </c>
    </row>
    <row r="44" spans="1:7">
      <c r="B44" s="53" t="s">
        <v>78</v>
      </c>
      <c r="C44">
        <v>65</v>
      </c>
      <c r="E44" s="138" t="s">
        <v>81</v>
      </c>
      <c r="F44" s="139">
        <v>620</v>
      </c>
      <c r="G44" s="139">
        <v>4046</v>
      </c>
    </row>
    <row r="45" spans="1:7">
      <c r="B45" s="53" t="s">
        <v>78</v>
      </c>
      <c r="C45">
        <v>65</v>
      </c>
    </row>
    <row r="46" spans="1:7">
      <c r="B46" s="53" t="s">
        <v>78</v>
      </c>
      <c r="C46">
        <v>155</v>
      </c>
    </row>
    <row r="47" spans="1:7">
      <c r="B47" s="53" t="s">
        <v>78</v>
      </c>
      <c r="C47">
        <v>85</v>
      </c>
    </row>
    <row r="48" spans="1:7">
      <c r="B48" s="53" t="s">
        <v>78</v>
      </c>
      <c r="C48">
        <v>518</v>
      </c>
    </row>
    <row r="49" spans="2:4">
      <c r="B49" s="53" t="s">
        <v>78</v>
      </c>
      <c r="C49">
        <v>301</v>
      </c>
    </row>
    <row r="50" spans="2:4">
      <c r="B50" s="53" t="s">
        <v>78</v>
      </c>
      <c r="C50">
        <v>600</v>
      </c>
    </row>
    <row r="51" spans="2:4">
      <c r="B51" s="53" t="s">
        <v>78</v>
      </c>
      <c r="C51">
        <v>55</v>
      </c>
    </row>
    <row r="52" spans="2:4">
      <c r="B52" s="53" t="s">
        <v>78</v>
      </c>
      <c r="C52">
        <v>250</v>
      </c>
    </row>
    <row r="53" spans="2:4">
      <c r="B53" s="53" t="s">
        <v>78</v>
      </c>
      <c r="C53">
        <v>85</v>
      </c>
    </row>
    <row r="54" spans="2:4">
      <c r="B54" s="53" t="s">
        <v>78</v>
      </c>
      <c r="D54">
        <v>25</v>
      </c>
    </row>
    <row r="55" spans="2:4">
      <c r="B55" t="s">
        <v>85</v>
      </c>
      <c r="C55">
        <v>195</v>
      </c>
    </row>
    <row r="56" spans="2:4">
      <c r="B56" s="53" t="s">
        <v>85</v>
      </c>
      <c r="D56">
        <v>385</v>
      </c>
    </row>
    <row r="57" spans="2:4">
      <c r="B57" s="53" t="s">
        <v>85</v>
      </c>
      <c r="D57">
        <v>210</v>
      </c>
    </row>
    <row r="58" spans="2:4">
      <c r="B58" t="s">
        <v>79</v>
      </c>
      <c r="C58">
        <v>342</v>
      </c>
    </row>
    <row r="59" spans="2:4">
      <c r="B59" s="53" t="s">
        <v>79</v>
      </c>
      <c r="C59">
        <v>105</v>
      </c>
    </row>
    <row r="60" spans="2:4">
      <c r="B60" s="53" t="s">
        <v>79</v>
      </c>
      <c r="C60">
        <v>70</v>
      </c>
    </row>
    <row r="61" spans="2:4">
      <c r="B61" s="53" t="s">
        <v>79</v>
      </c>
      <c r="C61">
        <v>430</v>
      </c>
    </row>
    <row r="62" spans="2:4">
      <c r="B62" s="53" t="s">
        <v>79</v>
      </c>
      <c r="C62">
        <v>265</v>
      </c>
    </row>
    <row r="63" spans="2:4">
      <c r="B63" s="53" t="s">
        <v>79</v>
      </c>
      <c r="C63">
        <v>175</v>
      </c>
    </row>
    <row r="65" spans="1:7">
      <c r="A65" s="53" t="s">
        <v>14</v>
      </c>
      <c r="B65" s="53" t="s">
        <v>75</v>
      </c>
      <c r="C65" s="53" t="s">
        <v>76</v>
      </c>
      <c r="D65" s="53" t="s">
        <v>77</v>
      </c>
      <c r="E65" s="137" t="s">
        <v>80</v>
      </c>
      <c r="F65" s="53" t="s">
        <v>83</v>
      </c>
      <c r="G65" s="53" t="s">
        <v>82</v>
      </c>
    </row>
    <row r="66" spans="1:7">
      <c r="A66" s="152" t="s">
        <v>6</v>
      </c>
      <c r="B66" t="s">
        <v>78</v>
      </c>
      <c r="C66">
        <v>590</v>
      </c>
      <c r="E66" s="138" t="s">
        <v>78</v>
      </c>
      <c r="F66" s="139">
        <v>15</v>
      </c>
      <c r="G66" s="139">
        <v>3282</v>
      </c>
    </row>
    <row r="67" spans="1:7">
      <c r="A67" s="53" t="s">
        <v>6</v>
      </c>
      <c r="B67" s="53" t="s">
        <v>78</v>
      </c>
      <c r="C67">
        <v>420</v>
      </c>
      <c r="E67" s="138" t="s">
        <v>79</v>
      </c>
      <c r="F67" s="139"/>
      <c r="G67" s="139">
        <v>4243</v>
      </c>
    </row>
    <row r="68" spans="1:7">
      <c r="A68" s="53" t="s">
        <v>6</v>
      </c>
      <c r="B68" s="53" t="s">
        <v>78</v>
      </c>
      <c r="D68">
        <v>15</v>
      </c>
      <c r="E68" s="138" t="s">
        <v>85</v>
      </c>
      <c r="F68" s="139">
        <v>585</v>
      </c>
      <c r="G68" s="139">
        <v>120</v>
      </c>
    </row>
    <row r="69" spans="1:7">
      <c r="A69" s="53" t="s">
        <v>6</v>
      </c>
      <c r="B69" s="53" t="s">
        <v>78</v>
      </c>
      <c r="C69">
        <v>225</v>
      </c>
      <c r="E69" s="138" t="s">
        <v>81</v>
      </c>
      <c r="F69" s="139">
        <v>600</v>
      </c>
      <c r="G69" s="139">
        <v>7645</v>
      </c>
    </row>
    <row r="70" spans="1:7">
      <c r="A70" s="53" t="s">
        <v>6</v>
      </c>
      <c r="B70" s="53" t="s">
        <v>78</v>
      </c>
      <c r="C70">
        <v>175</v>
      </c>
    </row>
    <row r="71" spans="1:7">
      <c r="A71" s="53" t="s">
        <v>6</v>
      </c>
      <c r="B71" s="53" t="s">
        <v>78</v>
      </c>
      <c r="C71">
        <v>85</v>
      </c>
    </row>
    <row r="72" spans="1:7">
      <c r="A72" s="53" t="s">
        <v>6</v>
      </c>
      <c r="B72" s="53" t="s">
        <v>78</v>
      </c>
      <c r="C72">
        <v>225</v>
      </c>
    </row>
    <row r="73" spans="1:7">
      <c r="A73" s="53" t="s">
        <v>6</v>
      </c>
      <c r="B73" s="53" t="s">
        <v>78</v>
      </c>
      <c r="C73">
        <v>115</v>
      </c>
    </row>
    <row r="74" spans="1:7">
      <c r="A74" s="53" t="s">
        <v>6</v>
      </c>
      <c r="B74" s="53" t="s">
        <v>78</v>
      </c>
      <c r="C74">
        <v>601</v>
      </c>
    </row>
    <row r="75" spans="1:7">
      <c r="A75" s="53" t="s">
        <v>6</v>
      </c>
      <c r="B75" s="53" t="s">
        <v>78</v>
      </c>
      <c r="C75">
        <v>270</v>
      </c>
    </row>
    <row r="76" spans="1:7">
      <c r="A76" s="53" t="s">
        <v>6</v>
      </c>
      <c r="B76" s="53" t="s">
        <v>78</v>
      </c>
      <c r="C76">
        <v>1</v>
      </c>
    </row>
    <row r="77" spans="1:7">
      <c r="A77" s="53" t="s">
        <v>6</v>
      </c>
      <c r="B77" s="53" t="s">
        <v>78</v>
      </c>
      <c r="C77">
        <v>100</v>
      </c>
    </row>
    <row r="78" spans="1:7">
      <c r="A78" s="53" t="s">
        <v>6</v>
      </c>
      <c r="B78" s="53" t="s">
        <v>78</v>
      </c>
      <c r="C78">
        <v>300</v>
      </c>
    </row>
    <row r="79" spans="1:7">
      <c r="A79" s="53" t="s">
        <v>6</v>
      </c>
      <c r="B79" s="53" t="s">
        <v>78</v>
      </c>
      <c r="C79">
        <v>150</v>
      </c>
    </row>
    <row r="80" spans="1:7">
      <c r="A80" s="53" t="s">
        <v>6</v>
      </c>
      <c r="B80" s="53" t="s">
        <v>78</v>
      </c>
      <c r="C80">
        <v>25</v>
      </c>
    </row>
    <row r="81" spans="1:7">
      <c r="A81" s="53" t="s">
        <v>6</v>
      </c>
      <c r="B81" s="53" t="s">
        <v>85</v>
      </c>
      <c r="C81">
        <v>120</v>
      </c>
    </row>
    <row r="82" spans="1:7">
      <c r="A82" s="53" t="s">
        <v>6</v>
      </c>
      <c r="B82" s="53" t="s">
        <v>85</v>
      </c>
      <c r="D82">
        <v>410</v>
      </c>
    </row>
    <row r="83" spans="1:7">
      <c r="A83" s="53" t="s">
        <v>6</v>
      </c>
      <c r="B83" s="53" t="s">
        <v>85</v>
      </c>
      <c r="D83">
        <v>175</v>
      </c>
    </row>
    <row r="84" spans="1:7">
      <c r="A84" s="53" t="s">
        <v>6</v>
      </c>
      <c r="B84" s="53" t="s">
        <v>79</v>
      </c>
      <c r="C84">
        <v>3568</v>
      </c>
    </row>
    <row r="85" spans="1:7">
      <c r="A85" s="53" t="s">
        <v>6</v>
      </c>
      <c r="B85" s="53" t="s">
        <v>79</v>
      </c>
      <c r="C85">
        <v>405</v>
      </c>
    </row>
    <row r="86" spans="1:7">
      <c r="A86" s="53" t="s">
        <v>6</v>
      </c>
      <c r="B86" s="53" t="s">
        <v>79</v>
      </c>
      <c r="C86">
        <v>270</v>
      </c>
    </row>
    <row r="88" spans="1:7">
      <c r="A88" s="53" t="s">
        <v>14</v>
      </c>
      <c r="B88" s="53" t="s">
        <v>75</v>
      </c>
      <c r="C88" s="53" t="s">
        <v>76</v>
      </c>
      <c r="D88" s="53" t="s">
        <v>77</v>
      </c>
      <c r="E88" s="137" t="s">
        <v>80</v>
      </c>
      <c r="F88" s="53" t="s">
        <v>83</v>
      </c>
      <c r="G88" s="53" t="s">
        <v>82</v>
      </c>
    </row>
    <row r="89" spans="1:7">
      <c r="A89" s="151" t="s">
        <v>11</v>
      </c>
      <c r="B89" t="s">
        <v>78</v>
      </c>
      <c r="C89">
        <v>710</v>
      </c>
      <c r="E89" s="138" t="s">
        <v>78</v>
      </c>
      <c r="F89" s="139"/>
      <c r="G89" s="139">
        <v>760</v>
      </c>
    </row>
    <row r="90" spans="1:7">
      <c r="B90" s="53" t="s">
        <v>78</v>
      </c>
      <c r="C90">
        <v>50</v>
      </c>
      <c r="E90" s="138" t="s">
        <v>79</v>
      </c>
      <c r="F90" s="139"/>
      <c r="G90" s="139">
        <v>673</v>
      </c>
    </row>
    <row r="91" spans="1:7">
      <c r="B91" s="53" t="s">
        <v>85</v>
      </c>
      <c r="C91">
        <v>235</v>
      </c>
      <c r="E91" s="138" t="s">
        <v>85</v>
      </c>
      <c r="F91" s="139">
        <v>695</v>
      </c>
      <c r="G91" s="139">
        <v>235</v>
      </c>
    </row>
    <row r="92" spans="1:7">
      <c r="B92" s="53" t="s">
        <v>85</v>
      </c>
      <c r="D92">
        <v>485</v>
      </c>
      <c r="E92" s="138" t="s">
        <v>81</v>
      </c>
      <c r="F92" s="139">
        <v>695</v>
      </c>
      <c r="G92" s="139">
        <v>1668</v>
      </c>
    </row>
    <row r="93" spans="1:7">
      <c r="B93" s="53" t="s">
        <v>85</v>
      </c>
      <c r="D93">
        <v>210</v>
      </c>
    </row>
    <row r="94" spans="1:7">
      <c r="B94" s="53" t="s">
        <v>79</v>
      </c>
      <c r="C94">
        <v>250</v>
      </c>
    </row>
    <row r="95" spans="1:7">
      <c r="B95" s="53" t="s">
        <v>79</v>
      </c>
      <c r="C95">
        <v>253</v>
      </c>
    </row>
    <row r="96" spans="1:7">
      <c r="B96" s="53" t="s">
        <v>79</v>
      </c>
      <c r="C96">
        <v>170</v>
      </c>
    </row>
    <row r="98" spans="1:7">
      <c r="A98" s="53" t="s">
        <v>14</v>
      </c>
      <c r="B98" s="53" t="s">
        <v>75</v>
      </c>
      <c r="C98" s="53" t="s">
        <v>76</v>
      </c>
      <c r="D98" s="53" t="s">
        <v>77</v>
      </c>
      <c r="E98" s="137" t="s">
        <v>80</v>
      </c>
      <c r="F98" s="53" t="s">
        <v>83</v>
      </c>
      <c r="G98" s="53" t="s">
        <v>82</v>
      </c>
    </row>
    <row r="99" spans="1:7">
      <c r="A99" s="151" t="s">
        <v>4</v>
      </c>
      <c r="B99" t="s">
        <v>78</v>
      </c>
      <c r="C99">
        <v>710</v>
      </c>
      <c r="E99" s="138" t="s">
        <v>78</v>
      </c>
      <c r="F99" s="139">
        <v>35</v>
      </c>
      <c r="G99" s="139">
        <v>3420</v>
      </c>
    </row>
    <row r="100" spans="1:7">
      <c r="B100" s="53" t="s">
        <v>78</v>
      </c>
      <c r="C100">
        <v>270</v>
      </c>
      <c r="E100" s="138" t="s">
        <v>79</v>
      </c>
      <c r="F100" s="139"/>
      <c r="G100" s="139">
        <v>3770</v>
      </c>
    </row>
    <row r="101" spans="1:7">
      <c r="B101" s="53" t="s">
        <v>78</v>
      </c>
      <c r="C101">
        <v>400</v>
      </c>
      <c r="E101" s="138" t="s">
        <v>85</v>
      </c>
      <c r="F101" s="139">
        <v>950</v>
      </c>
      <c r="G101" s="139">
        <v>290</v>
      </c>
    </row>
    <row r="102" spans="1:7">
      <c r="B102" s="53" t="s">
        <v>78</v>
      </c>
      <c r="C102" s="153">
        <v>300</v>
      </c>
      <c r="E102" s="138" t="s">
        <v>81</v>
      </c>
      <c r="F102" s="139">
        <v>985</v>
      </c>
      <c r="G102" s="139">
        <v>7480</v>
      </c>
    </row>
    <row r="103" spans="1:7">
      <c r="B103" s="53" t="s">
        <v>78</v>
      </c>
      <c r="C103">
        <v>60</v>
      </c>
    </row>
    <row r="104" spans="1:7">
      <c r="B104" s="53" t="s">
        <v>78</v>
      </c>
      <c r="C104">
        <v>141</v>
      </c>
    </row>
    <row r="105" spans="1:7">
      <c r="B105" s="53" t="s">
        <v>78</v>
      </c>
      <c r="C105">
        <v>135</v>
      </c>
    </row>
    <row r="106" spans="1:7">
      <c r="B106" s="53" t="s">
        <v>78</v>
      </c>
      <c r="C106">
        <v>194</v>
      </c>
    </row>
    <row r="107" spans="1:7">
      <c r="B107" s="53" t="s">
        <v>78</v>
      </c>
      <c r="C107">
        <v>40</v>
      </c>
    </row>
    <row r="108" spans="1:7">
      <c r="B108" s="53" t="s">
        <v>78</v>
      </c>
      <c r="C108">
        <v>700</v>
      </c>
    </row>
    <row r="109" spans="1:7">
      <c r="B109" s="53" t="s">
        <v>78</v>
      </c>
      <c r="C109">
        <v>100</v>
      </c>
    </row>
    <row r="110" spans="1:7">
      <c r="B110" s="53" t="s">
        <v>78</v>
      </c>
      <c r="C110">
        <v>250</v>
      </c>
    </row>
    <row r="111" spans="1:7">
      <c r="B111" s="53" t="s">
        <v>78</v>
      </c>
      <c r="D111">
        <v>35</v>
      </c>
    </row>
    <row r="112" spans="1:7" s="53" customFormat="1">
      <c r="B112" s="53" t="s">
        <v>78</v>
      </c>
      <c r="C112" s="53">
        <v>120</v>
      </c>
    </row>
    <row r="113" spans="1:7">
      <c r="B113" t="s">
        <v>85</v>
      </c>
      <c r="C113">
        <v>290</v>
      </c>
    </row>
    <row r="114" spans="1:7">
      <c r="B114" s="53" t="s">
        <v>85</v>
      </c>
      <c r="D114">
        <v>540</v>
      </c>
    </row>
    <row r="115" spans="1:7">
      <c r="B115" s="53" t="s">
        <v>85</v>
      </c>
      <c r="D115">
        <v>410</v>
      </c>
    </row>
    <row r="116" spans="1:7">
      <c r="B116" s="53" t="s">
        <v>79</v>
      </c>
      <c r="C116">
        <v>470</v>
      </c>
    </row>
    <row r="117" spans="1:7">
      <c r="B117" s="53" t="s">
        <v>79</v>
      </c>
      <c r="C117">
        <v>1680</v>
      </c>
    </row>
    <row r="118" spans="1:7">
      <c r="B118" s="53" t="s">
        <v>79</v>
      </c>
      <c r="C118">
        <v>1620</v>
      </c>
    </row>
    <row r="120" spans="1:7">
      <c r="A120" s="53" t="s">
        <v>14</v>
      </c>
      <c r="B120" s="53" t="s">
        <v>75</v>
      </c>
      <c r="C120" s="53" t="s">
        <v>76</v>
      </c>
      <c r="D120" s="53" t="s">
        <v>77</v>
      </c>
      <c r="E120" s="137" t="s">
        <v>80</v>
      </c>
      <c r="F120" s="53" t="s">
        <v>83</v>
      </c>
      <c r="G120" s="53" t="s">
        <v>82</v>
      </c>
    </row>
    <row r="121" spans="1:7">
      <c r="A121" s="151" t="s">
        <v>26</v>
      </c>
      <c r="B121" t="s">
        <v>78</v>
      </c>
      <c r="C121">
        <v>590</v>
      </c>
      <c r="E121" s="138" t="s">
        <v>78</v>
      </c>
      <c r="F121" s="139">
        <v>50</v>
      </c>
      <c r="G121" s="139">
        <v>1013</v>
      </c>
    </row>
    <row r="122" spans="1:7">
      <c r="B122" s="53" t="s">
        <v>78</v>
      </c>
      <c r="C122">
        <v>110</v>
      </c>
      <c r="E122" s="138" t="s">
        <v>79</v>
      </c>
      <c r="F122" s="139"/>
      <c r="G122" s="139">
        <v>675</v>
      </c>
    </row>
    <row r="123" spans="1:7">
      <c r="B123" s="53" t="s">
        <v>78</v>
      </c>
      <c r="C123">
        <v>40</v>
      </c>
      <c r="E123" s="138" t="s">
        <v>85</v>
      </c>
      <c r="F123" s="139">
        <v>240</v>
      </c>
      <c r="G123" s="139">
        <v>175</v>
      </c>
    </row>
    <row r="124" spans="1:7">
      <c r="B124" s="53" t="s">
        <v>78</v>
      </c>
      <c r="C124">
        <v>78</v>
      </c>
      <c r="E124" s="138" t="s">
        <v>81</v>
      </c>
      <c r="F124" s="139">
        <v>290</v>
      </c>
      <c r="G124" s="139">
        <v>1863</v>
      </c>
    </row>
    <row r="125" spans="1:7">
      <c r="B125" s="53" t="s">
        <v>78</v>
      </c>
      <c r="C125">
        <v>45</v>
      </c>
    </row>
    <row r="126" spans="1:7">
      <c r="B126" s="53" t="s">
        <v>78</v>
      </c>
      <c r="D126">
        <v>50</v>
      </c>
    </row>
    <row r="127" spans="1:7" s="53" customFormat="1">
      <c r="B127" s="53" t="s">
        <v>78</v>
      </c>
      <c r="C127" s="53">
        <v>150</v>
      </c>
    </row>
    <row r="128" spans="1:7">
      <c r="B128" t="s">
        <v>85</v>
      </c>
      <c r="C128">
        <v>175</v>
      </c>
    </row>
    <row r="129" spans="1:7">
      <c r="B129" s="53" t="s">
        <v>85</v>
      </c>
      <c r="D129">
        <v>85</v>
      </c>
    </row>
    <row r="130" spans="1:7">
      <c r="B130" s="53" t="s">
        <v>85</v>
      </c>
      <c r="D130">
        <v>155</v>
      </c>
    </row>
    <row r="131" spans="1:7">
      <c r="B131" s="53" t="s">
        <v>79</v>
      </c>
      <c r="C131">
        <v>405</v>
      </c>
    </row>
    <row r="132" spans="1:7">
      <c r="B132" s="53" t="s">
        <v>79</v>
      </c>
      <c r="C132">
        <v>270</v>
      </c>
    </row>
    <row r="134" spans="1:7">
      <c r="A134" s="53" t="s">
        <v>14</v>
      </c>
      <c r="B134" s="53" t="s">
        <v>75</v>
      </c>
      <c r="C134" s="53" t="s">
        <v>76</v>
      </c>
      <c r="D134" s="53" t="s">
        <v>77</v>
      </c>
      <c r="E134" s="137" t="s">
        <v>80</v>
      </c>
      <c r="F134" s="53" t="s">
        <v>83</v>
      </c>
      <c r="G134" s="53" t="s">
        <v>82</v>
      </c>
    </row>
    <row r="135" spans="1:7">
      <c r="A135" s="151" t="s">
        <v>7</v>
      </c>
      <c r="B135" t="s">
        <v>78</v>
      </c>
      <c r="C135">
        <v>110</v>
      </c>
      <c r="E135" s="138" t="s">
        <v>78</v>
      </c>
      <c r="F135" s="139"/>
      <c r="G135" s="139">
        <v>2502</v>
      </c>
    </row>
    <row r="136" spans="1:7">
      <c r="B136" s="53" t="s">
        <v>78</v>
      </c>
      <c r="C136">
        <v>45</v>
      </c>
      <c r="E136" s="138" t="s">
        <v>79</v>
      </c>
      <c r="F136" s="139"/>
      <c r="G136" s="139">
        <v>3300</v>
      </c>
    </row>
    <row r="137" spans="1:7">
      <c r="B137" s="53" t="s">
        <v>78</v>
      </c>
      <c r="C137">
        <v>700</v>
      </c>
      <c r="E137" s="138" t="s">
        <v>85</v>
      </c>
      <c r="F137" s="139">
        <v>210</v>
      </c>
      <c r="G137" s="139">
        <v>75</v>
      </c>
    </row>
    <row r="138" spans="1:7">
      <c r="B138" s="53" t="s">
        <v>78</v>
      </c>
      <c r="C138" s="153">
        <v>550</v>
      </c>
      <c r="E138" s="138" t="s">
        <v>81</v>
      </c>
      <c r="F138" s="139">
        <v>210</v>
      </c>
      <c r="G138" s="139">
        <v>5877</v>
      </c>
    </row>
    <row r="139" spans="1:7">
      <c r="B139" s="53" t="s">
        <v>78</v>
      </c>
      <c r="C139">
        <v>90</v>
      </c>
    </row>
    <row r="140" spans="1:7">
      <c r="B140" s="53" t="s">
        <v>78</v>
      </c>
      <c r="C140">
        <v>246</v>
      </c>
    </row>
    <row r="141" spans="1:7">
      <c r="B141" s="53" t="s">
        <v>78</v>
      </c>
      <c r="C141">
        <v>120</v>
      </c>
    </row>
    <row r="142" spans="1:7">
      <c r="B142" s="53" t="s">
        <v>78</v>
      </c>
      <c r="C142">
        <v>180</v>
      </c>
    </row>
    <row r="143" spans="1:7">
      <c r="B143" s="53" t="s">
        <v>78</v>
      </c>
      <c r="C143">
        <v>126</v>
      </c>
    </row>
    <row r="144" spans="1:7">
      <c r="B144" s="53" t="s">
        <v>78</v>
      </c>
      <c r="C144">
        <v>335</v>
      </c>
    </row>
    <row r="145" spans="1:7">
      <c r="B145" t="s">
        <v>85</v>
      </c>
      <c r="C145">
        <v>75</v>
      </c>
    </row>
    <row r="146" spans="1:7">
      <c r="B146" s="53" t="s">
        <v>85</v>
      </c>
      <c r="D146">
        <v>85</v>
      </c>
    </row>
    <row r="147" spans="1:7">
      <c r="B147" s="53" t="s">
        <v>85</v>
      </c>
      <c r="D147">
        <v>125</v>
      </c>
    </row>
    <row r="148" spans="1:7">
      <c r="B148" s="53" t="s">
        <v>79</v>
      </c>
      <c r="C148">
        <v>3075</v>
      </c>
    </row>
    <row r="149" spans="1:7">
      <c r="B149" s="53" t="s">
        <v>79</v>
      </c>
      <c r="C149">
        <v>90</v>
      </c>
    </row>
    <row r="150" spans="1:7">
      <c r="B150" s="53" t="s">
        <v>79</v>
      </c>
      <c r="C150">
        <v>135</v>
      </c>
    </row>
    <row r="152" spans="1:7">
      <c r="B152" s="53"/>
    </row>
    <row r="154" spans="1:7">
      <c r="A154" s="53" t="s">
        <v>14</v>
      </c>
      <c r="B154" s="53" t="s">
        <v>75</v>
      </c>
      <c r="C154" s="53" t="s">
        <v>76</v>
      </c>
      <c r="D154" s="53" t="s">
        <v>77</v>
      </c>
      <c r="E154" s="137" t="s">
        <v>80</v>
      </c>
      <c r="F154" s="53" t="s">
        <v>83</v>
      </c>
      <c r="G154" s="53" t="s">
        <v>82</v>
      </c>
    </row>
    <row r="155" spans="1:7">
      <c r="A155" s="151" t="s">
        <v>2</v>
      </c>
      <c r="B155" t="s">
        <v>78</v>
      </c>
      <c r="C155">
        <v>300</v>
      </c>
      <c r="E155" s="138" t="s">
        <v>78</v>
      </c>
      <c r="F155" s="139"/>
      <c r="G155" s="139">
        <v>2824</v>
      </c>
    </row>
    <row r="156" spans="1:7">
      <c r="B156" s="53" t="s">
        <v>78</v>
      </c>
      <c r="C156">
        <v>15</v>
      </c>
      <c r="E156" s="138" t="s">
        <v>79</v>
      </c>
      <c r="F156" s="139"/>
      <c r="G156" s="139">
        <v>395</v>
      </c>
    </row>
    <row r="157" spans="1:7">
      <c r="B157" s="53" t="s">
        <v>78</v>
      </c>
      <c r="C157">
        <v>700</v>
      </c>
      <c r="E157" s="138" t="s">
        <v>85</v>
      </c>
      <c r="F157" s="139">
        <v>510</v>
      </c>
      <c r="G157" s="139">
        <v>130</v>
      </c>
    </row>
    <row r="158" spans="1:7">
      <c r="B158" s="53" t="s">
        <v>78</v>
      </c>
      <c r="C158">
        <v>500</v>
      </c>
      <c r="E158" s="138" t="s">
        <v>81</v>
      </c>
      <c r="F158" s="139">
        <v>510</v>
      </c>
      <c r="G158" s="139">
        <v>3349</v>
      </c>
    </row>
    <row r="159" spans="1:7">
      <c r="B159" s="53" t="s">
        <v>78</v>
      </c>
      <c r="C159">
        <v>60</v>
      </c>
    </row>
    <row r="160" spans="1:7">
      <c r="B160" s="53" t="s">
        <v>78</v>
      </c>
      <c r="C160">
        <v>141</v>
      </c>
    </row>
    <row r="161" spans="1:7">
      <c r="B161" s="53" t="s">
        <v>78</v>
      </c>
      <c r="C161">
        <v>75</v>
      </c>
    </row>
    <row r="162" spans="1:7">
      <c r="B162" s="53" t="s">
        <v>78</v>
      </c>
      <c r="C162">
        <v>463</v>
      </c>
    </row>
    <row r="163" spans="1:7">
      <c r="B163" s="53" t="s">
        <v>78</v>
      </c>
      <c r="C163">
        <v>100</v>
      </c>
    </row>
    <row r="164" spans="1:7">
      <c r="B164" s="53" t="s">
        <v>78</v>
      </c>
      <c r="C164">
        <v>200</v>
      </c>
    </row>
    <row r="165" spans="1:7">
      <c r="B165" s="53" t="s">
        <v>78</v>
      </c>
      <c r="C165">
        <v>150</v>
      </c>
    </row>
    <row r="166" spans="1:7">
      <c r="B166" s="53" t="s">
        <v>78</v>
      </c>
      <c r="C166">
        <v>120</v>
      </c>
    </row>
    <row r="167" spans="1:7">
      <c r="B167" s="53" t="s">
        <v>85</v>
      </c>
      <c r="C167">
        <v>130</v>
      </c>
    </row>
    <row r="168" spans="1:7">
      <c r="B168" t="s">
        <v>85</v>
      </c>
      <c r="D168">
        <v>250</v>
      </c>
    </row>
    <row r="169" spans="1:7">
      <c r="B169" s="53" t="s">
        <v>85</v>
      </c>
      <c r="D169">
        <v>260</v>
      </c>
    </row>
    <row r="170" spans="1:7">
      <c r="B170" s="53" t="s">
        <v>79</v>
      </c>
      <c r="C170">
        <v>235</v>
      </c>
    </row>
    <row r="171" spans="1:7">
      <c r="B171" s="53" t="s">
        <v>79</v>
      </c>
      <c r="C171">
        <v>160</v>
      </c>
    </row>
    <row r="173" spans="1:7">
      <c r="A173" s="53" t="s">
        <v>14</v>
      </c>
      <c r="B173" s="53" t="s">
        <v>75</v>
      </c>
      <c r="C173" s="53" t="s">
        <v>76</v>
      </c>
      <c r="D173" s="53" t="s">
        <v>77</v>
      </c>
      <c r="E173" s="137" t="s">
        <v>80</v>
      </c>
      <c r="F173" s="53" t="s">
        <v>84</v>
      </c>
      <c r="G173" s="53" t="s">
        <v>82</v>
      </c>
    </row>
    <row r="174" spans="1:7">
      <c r="A174" s="151" t="s">
        <v>1</v>
      </c>
      <c r="B174" t="s">
        <v>78</v>
      </c>
      <c r="C174">
        <v>310</v>
      </c>
      <c r="E174" s="138" t="s">
        <v>78</v>
      </c>
      <c r="F174" s="139">
        <v>35</v>
      </c>
      <c r="G174" s="139">
        <v>1612</v>
      </c>
    </row>
    <row r="175" spans="1:7">
      <c r="B175" s="53" t="s">
        <v>78</v>
      </c>
      <c r="C175">
        <v>477</v>
      </c>
      <c r="E175" s="138" t="s">
        <v>85</v>
      </c>
      <c r="F175" s="139">
        <v>1290</v>
      </c>
      <c r="G175" s="139"/>
    </row>
    <row r="176" spans="1:7">
      <c r="B176" s="53" t="s">
        <v>78</v>
      </c>
      <c r="C176">
        <v>375</v>
      </c>
      <c r="E176" s="138" t="s">
        <v>81</v>
      </c>
      <c r="F176" s="139">
        <v>1325</v>
      </c>
      <c r="G176" s="139">
        <v>1612</v>
      </c>
    </row>
    <row r="177" spans="1:7">
      <c r="B177" s="53" t="s">
        <v>78</v>
      </c>
      <c r="C177">
        <v>200</v>
      </c>
    </row>
    <row r="178" spans="1:7">
      <c r="B178" s="53" t="s">
        <v>78</v>
      </c>
      <c r="C178">
        <v>250</v>
      </c>
    </row>
    <row r="179" spans="1:7">
      <c r="B179" s="53" t="s">
        <v>78</v>
      </c>
      <c r="D179" s="53">
        <v>35</v>
      </c>
    </row>
    <row r="180" spans="1:7">
      <c r="B180" t="s">
        <v>85</v>
      </c>
      <c r="D180">
        <v>980</v>
      </c>
    </row>
    <row r="181" spans="1:7">
      <c r="B181" s="53" t="s">
        <v>85</v>
      </c>
      <c r="D181">
        <v>310</v>
      </c>
    </row>
    <row r="183" spans="1:7">
      <c r="A183" s="53" t="s">
        <v>14</v>
      </c>
      <c r="B183" s="53" t="s">
        <v>75</v>
      </c>
      <c r="C183" s="53" t="s">
        <v>76</v>
      </c>
      <c r="D183" s="53" t="s">
        <v>77</v>
      </c>
      <c r="E183" s="137" t="s">
        <v>80</v>
      </c>
      <c r="F183" s="53" t="s">
        <v>84</v>
      </c>
      <c r="G183" s="53" t="s">
        <v>82</v>
      </c>
    </row>
    <row r="184" spans="1:7">
      <c r="A184" s="151" t="s">
        <v>8</v>
      </c>
      <c r="B184" t="s">
        <v>78</v>
      </c>
      <c r="C184">
        <v>150</v>
      </c>
      <c r="E184" s="138" t="s">
        <v>78</v>
      </c>
      <c r="F184" s="139"/>
      <c r="G184" s="139">
        <v>2450</v>
      </c>
    </row>
    <row r="185" spans="1:7">
      <c r="B185" s="53" t="s">
        <v>78</v>
      </c>
      <c r="C185">
        <v>250</v>
      </c>
      <c r="E185" s="138" t="s">
        <v>79</v>
      </c>
      <c r="F185" s="139"/>
      <c r="G185" s="139">
        <v>1210</v>
      </c>
    </row>
    <row r="186" spans="1:7">
      <c r="B186" s="53" t="s">
        <v>78</v>
      </c>
      <c r="C186" s="153">
        <v>200</v>
      </c>
      <c r="E186" s="138" t="s">
        <v>85</v>
      </c>
      <c r="F186" s="139">
        <v>980</v>
      </c>
      <c r="G186" s="139">
        <v>185</v>
      </c>
    </row>
    <row r="187" spans="1:7">
      <c r="B187" s="53" t="s">
        <v>78</v>
      </c>
      <c r="C187">
        <v>197</v>
      </c>
      <c r="E187" s="138" t="s">
        <v>81</v>
      </c>
      <c r="F187" s="139">
        <v>980</v>
      </c>
      <c r="G187" s="139">
        <v>3845</v>
      </c>
    </row>
    <row r="188" spans="1:7">
      <c r="B188" s="53" t="s">
        <v>78</v>
      </c>
      <c r="C188">
        <v>500</v>
      </c>
    </row>
    <row r="189" spans="1:7">
      <c r="B189" s="53" t="s">
        <v>78</v>
      </c>
      <c r="C189">
        <v>200</v>
      </c>
    </row>
    <row r="190" spans="1:7">
      <c r="B190" s="53" t="s">
        <v>78</v>
      </c>
      <c r="C190">
        <v>53</v>
      </c>
    </row>
    <row r="191" spans="1:7">
      <c r="B191" s="53" t="s">
        <v>78</v>
      </c>
      <c r="C191">
        <v>40</v>
      </c>
    </row>
    <row r="192" spans="1:7">
      <c r="B192" s="53" t="s">
        <v>78</v>
      </c>
      <c r="C192">
        <v>300</v>
      </c>
    </row>
    <row r="193" spans="1:7">
      <c r="B193" s="53" t="s">
        <v>78</v>
      </c>
      <c r="C193">
        <v>50</v>
      </c>
    </row>
    <row r="194" spans="1:7" s="53" customFormat="1">
      <c r="B194" s="53" t="s">
        <v>78</v>
      </c>
      <c r="C194" s="53">
        <v>100</v>
      </c>
    </row>
    <row r="195" spans="1:7" s="53" customFormat="1">
      <c r="B195" s="53" t="s">
        <v>78</v>
      </c>
      <c r="C195" s="53">
        <v>410</v>
      </c>
    </row>
    <row r="196" spans="1:7">
      <c r="B196" s="53" t="s">
        <v>85</v>
      </c>
      <c r="C196">
        <v>185</v>
      </c>
    </row>
    <row r="197" spans="1:7">
      <c r="B197" s="53" t="s">
        <v>85</v>
      </c>
      <c r="D197">
        <v>350</v>
      </c>
    </row>
    <row r="198" spans="1:7">
      <c r="B198" s="53" t="s">
        <v>85</v>
      </c>
      <c r="D198">
        <v>630</v>
      </c>
    </row>
    <row r="199" spans="1:7">
      <c r="B199" t="s">
        <v>79</v>
      </c>
      <c r="C199">
        <v>760</v>
      </c>
    </row>
    <row r="200" spans="1:7">
      <c r="B200" s="53" t="s">
        <v>79</v>
      </c>
      <c r="C200">
        <v>270</v>
      </c>
    </row>
    <row r="201" spans="1:7">
      <c r="B201" s="53" t="s">
        <v>79</v>
      </c>
      <c r="C201">
        <v>180</v>
      </c>
    </row>
    <row r="203" spans="1:7">
      <c r="A203" s="53" t="s">
        <v>14</v>
      </c>
      <c r="B203" s="53" t="s">
        <v>75</v>
      </c>
      <c r="C203" s="53" t="s">
        <v>76</v>
      </c>
      <c r="D203" s="53" t="s">
        <v>77</v>
      </c>
      <c r="E203" s="137" t="s">
        <v>80</v>
      </c>
      <c r="F203" s="53" t="s">
        <v>83</v>
      </c>
      <c r="G203" s="53" t="s">
        <v>82</v>
      </c>
    </row>
    <row r="204" spans="1:7">
      <c r="A204" s="151" t="s">
        <v>5</v>
      </c>
      <c r="B204" t="s">
        <v>78</v>
      </c>
      <c r="C204">
        <v>65</v>
      </c>
      <c r="E204" s="138" t="s">
        <v>78</v>
      </c>
      <c r="F204" s="139">
        <v>50</v>
      </c>
      <c r="G204" s="139">
        <v>1647</v>
      </c>
    </row>
    <row r="205" spans="1:7">
      <c r="B205" s="53" t="s">
        <v>78</v>
      </c>
      <c r="C205">
        <v>95</v>
      </c>
      <c r="E205" s="138" t="s">
        <v>79</v>
      </c>
      <c r="F205" s="139"/>
      <c r="G205" s="139">
        <v>1406</v>
      </c>
    </row>
    <row r="206" spans="1:7">
      <c r="B206" s="53" t="s">
        <v>78</v>
      </c>
      <c r="C206">
        <v>75</v>
      </c>
      <c r="E206" s="138" t="s">
        <v>85</v>
      </c>
      <c r="F206" s="139">
        <v>1515</v>
      </c>
      <c r="G206" s="139">
        <v>180</v>
      </c>
    </row>
    <row r="207" spans="1:7">
      <c r="B207" s="53" t="s">
        <v>78</v>
      </c>
      <c r="C207">
        <v>25</v>
      </c>
      <c r="E207" s="138" t="s">
        <v>81</v>
      </c>
      <c r="F207" s="139">
        <v>1565</v>
      </c>
      <c r="G207" s="139">
        <v>3233</v>
      </c>
    </row>
    <row r="208" spans="1:7">
      <c r="B208" s="53" t="s">
        <v>78</v>
      </c>
      <c r="C208">
        <v>47</v>
      </c>
    </row>
    <row r="209" spans="1:7">
      <c r="B209" s="53" t="s">
        <v>78</v>
      </c>
      <c r="C209">
        <v>30</v>
      </c>
    </row>
    <row r="210" spans="1:7">
      <c r="B210" s="53" t="s">
        <v>78</v>
      </c>
      <c r="C210">
        <v>350</v>
      </c>
    </row>
    <row r="211" spans="1:7">
      <c r="B211" s="53" t="s">
        <v>78</v>
      </c>
      <c r="C211">
        <v>100</v>
      </c>
    </row>
    <row r="212" spans="1:7">
      <c r="B212" s="53" t="s">
        <v>78</v>
      </c>
      <c r="C212">
        <v>100</v>
      </c>
    </row>
    <row r="213" spans="1:7">
      <c r="B213" s="53" t="s">
        <v>78</v>
      </c>
      <c r="C213">
        <v>400</v>
      </c>
    </row>
    <row r="214" spans="1:7">
      <c r="B214" s="53" t="s">
        <v>78</v>
      </c>
      <c r="C214">
        <v>250</v>
      </c>
    </row>
    <row r="215" spans="1:7">
      <c r="B215" s="53" t="s">
        <v>78</v>
      </c>
      <c r="C215">
        <v>110</v>
      </c>
    </row>
    <row r="216" spans="1:7">
      <c r="B216" s="53" t="s">
        <v>78</v>
      </c>
      <c r="D216">
        <v>50</v>
      </c>
    </row>
    <row r="217" spans="1:7">
      <c r="B217" t="s">
        <v>85</v>
      </c>
      <c r="C217">
        <v>180</v>
      </c>
    </row>
    <row r="218" spans="1:7">
      <c r="B218" s="53" t="s">
        <v>85</v>
      </c>
      <c r="D218">
        <v>680</v>
      </c>
    </row>
    <row r="219" spans="1:7">
      <c r="B219" s="53" t="s">
        <v>85</v>
      </c>
      <c r="D219">
        <v>835</v>
      </c>
    </row>
    <row r="220" spans="1:7">
      <c r="B220" s="53" t="s">
        <v>79</v>
      </c>
      <c r="C220">
        <v>845</v>
      </c>
    </row>
    <row r="221" spans="1:7">
      <c r="B221" s="53" t="s">
        <v>79</v>
      </c>
      <c r="C221">
        <v>561</v>
      </c>
    </row>
    <row r="223" spans="1:7">
      <c r="A223" s="53" t="s">
        <v>14</v>
      </c>
      <c r="B223" s="53" t="s">
        <v>75</v>
      </c>
      <c r="C223" s="53" t="s">
        <v>76</v>
      </c>
      <c r="D223" s="53" t="s">
        <v>77</v>
      </c>
      <c r="E223" s="137" t="s">
        <v>80</v>
      </c>
      <c r="F223" s="53" t="s">
        <v>83</v>
      </c>
      <c r="G223" s="53" t="s">
        <v>82</v>
      </c>
    </row>
    <row r="224" spans="1:7">
      <c r="A224" s="151" t="s">
        <v>9</v>
      </c>
      <c r="B224" t="s">
        <v>78</v>
      </c>
      <c r="C224">
        <v>300</v>
      </c>
      <c r="E224" s="138" t="s">
        <v>78</v>
      </c>
      <c r="F224" s="139">
        <v>5</v>
      </c>
      <c r="G224" s="139">
        <v>1358</v>
      </c>
    </row>
    <row r="225" spans="1:12">
      <c r="B225" s="53" t="s">
        <v>78</v>
      </c>
      <c r="C225">
        <v>15</v>
      </c>
      <c r="E225" s="138" t="s">
        <v>79</v>
      </c>
      <c r="F225" s="139"/>
      <c r="G225" s="139">
        <v>400</v>
      </c>
    </row>
    <row r="226" spans="1:12">
      <c r="B226" s="53" t="s">
        <v>78</v>
      </c>
      <c r="C226">
        <v>85</v>
      </c>
      <c r="E226" s="138" t="s">
        <v>85</v>
      </c>
      <c r="F226" s="139">
        <v>390</v>
      </c>
      <c r="G226" s="139">
        <v>80</v>
      </c>
    </row>
    <row r="227" spans="1:12">
      <c r="B227" s="53" t="s">
        <v>78</v>
      </c>
      <c r="C227">
        <v>70</v>
      </c>
      <c r="E227" s="138" t="s">
        <v>81</v>
      </c>
      <c r="F227" s="139">
        <v>395</v>
      </c>
      <c r="G227" s="139">
        <v>1838</v>
      </c>
    </row>
    <row r="228" spans="1:12">
      <c r="B228" s="53" t="s">
        <v>78</v>
      </c>
      <c r="C228">
        <v>225</v>
      </c>
    </row>
    <row r="229" spans="1:12">
      <c r="B229" s="53" t="s">
        <v>78</v>
      </c>
      <c r="C229">
        <v>500</v>
      </c>
    </row>
    <row r="230" spans="1:12">
      <c r="B230" s="53" t="s">
        <v>78</v>
      </c>
      <c r="C230">
        <v>163</v>
      </c>
    </row>
    <row r="231" spans="1:12">
      <c r="B231" s="53" t="s">
        <v>78</v>
      </c>
      <c r="D231">
        <v>5</v>
      </c>
    </row>
    <row r="232" spans="1:12">
      <c r="B232" t="s">
        <v>85</v>
      </c>
      <c r="C232">
        <v>80</v>
      </c>
    </row>
    <row r="233" spans="1:12">
      <c r="B233" s="53" t="s">
        <v>85</v>
      </c>
      <c r="D233">
        <v>250</v>
      </c>
    </row>
    <row r="234" spans="1:12">
      <c r="B234" s="53" t="s">
        <v>85</v>
      </c>
      <c r="D234">
        <v>140</v>
      </c>
    </row>
    <row r="235" spans="1:12">
      <c r="B235" s="53" t="s">
        <v>79</v>
      </c>
      <c r="C235">
        <v>240</v>
      </c>
    </row>
    <row r="236" spans="1:12">
      <c r="B236" s="53" t="s">
        <v>79</v>
      </c>
      <c r="C236">
        <v>160</v>
      </c>
    </row>
    <row r="238" spans="1:12">
      <c r="A238" s="53" t="s">
        <v>14</v>
      </c>
      <c r="B238" s="53" t="s">
        <v>75</v>
      </c>
      <c r="C238" s="53" t="s">
        <v>76</v>
      </c>
      <c r="D238" s="53" t="s">
        <v>77</v>
      </c>
      <c r="E238" s="137" t="s">
        <v>80</v>
      </c>
      <c r="F238" s="53" t="s">
        <v>83</v>
      </c>
      <c r="G238" s="53" t="s">
        <v>82</v>
      </c>
      <c r="I238" s="53"/>
      <c r="J238" s="138"/>
      <c r="K238" s="138"/>
      <c r="L238" s="138"/>
    </row>
    <row r="239" spans="1:12">
      <c r="A239" s="151" t="s">
        <v>15</v>
      </c>
      <c r="B239" s="53" t="s">
        <v>78</v>
      </c>
      <c r="C239">
        <v>125</v>
      </c>
      <c r="E239" s="138" t="s">
        <v>79</v>
      </c>
      <c r="F239" s="139"/>
      <c r="G239" s="139">
        <v>6884</v>
      </c>
      <c r="I239" s="53"/>
      <c r="J239" s="139"/>
      <c r="K239" s="139"/>
      <c r="L239" s="139"/>
    </row>
    <row r="240" spans="1:12">
      <c r="B240" s="53" t="s">
        <v>78</v>
      </c>
      <c r="C240">
        <v>3000</v>
      </c>
      <c r="E240" s="138" t="s">
        <v>78</v>
      </c>
      <c r="F240" s="139"/>
      <c r="G240" s="139">
        <v>6915</v>
      </c>
      <c r="I240" s="53"/>
      <c r="J240" s="139"/>
      <c r="K240" s="139"/>
      <c r="L240" s="139"/>
    </row>
    <row r="241" spans="2:7">
      <c r="B241" s="53" t="s">
        <v>78</v>
      </c>
      <c r="C241">
        <v>2390</v>
      </c>
      <c r="E241" s="138" t="s">
        <v>85</v>
      </c>
      <c r="F241" s="139">
        <v>540</v>
      </c>
      <c r="G241" s="139"/>
    </row>
    <row r="242" spans="2:7">
      <c r="B242" s="53" t="s">
        <v>78</v>
      </c>
      <c r="C242">
        <v>1400</v>
      </c>
      <c r="E242" s="138" t="s">
        <v>81</v>
      </c>
      <c r="F242" s="139">
        <v>540</v>
      </c>
      <c r="G242" s="139">
        <v>13799</v>
      </c>
    </row>
    <row r="243" spans="2:7">
      <c r="B243" s="53" t="s">
        <v>85</v>
      </c>
      <c r="D243">
        <v>540</v>
      </c>
    </row>
    <row r="244" spans="2:7">
      <c r="B244" s="53" t="s">
        <v>79</v>
      </c>
      <c r="C244">
        <v>6884</v>
      </c>
    </row>
  </sheetData>
  <pageMargins left="0.7" right="0.7" top="0.75" bottom="0.75" header="0.3" footer="0.3"/>
  <pageSetup orientation="portrait" horizontalDpi="300" verticalDpi="0"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M33"/>
  <sheetViews>
    <sheetView rightToLeft="1" view="pageBreakPreview" zoomScaleNormal="100" zoomScaleSheetLayoutView="100" workbookViewId="0">
      <selection activeCell="C4" sqref="C4:E4"/>
    </sheetView>
  </sheetViews>
  <sheetFormatPr defaultColWidth="9.109375" defaultRowHeight="13.2"/>
  <cols>
    <col min="1" max="1" width="0.6640625" style="53" customWidth="1"/>
    <col min="2" max="2" width="13.5546875" style="53" customWidth="1"/>
    <col min="3" max="3" width="11.88671875" style="53" customWidth="1"/>
    <col min="4" max="4" width="12" style="53" customWidth="1"/>
    <col min="5" max="5" width="14.109375" style="53" customWidth="1"/>
    <col min="6" max="6" width="0.6640625" style="53" customWidth="1"/>
    <col min="7" max="10" width="10.77734375" style="53" customWidth="1"/>
    <col min="11" max="11" width="13.5546875" style="53" customWidth="1"/>
    <col min="12" max="16384" width="9.109375" style="53"/>
  </cols>
  <sheetData>
    <row r="1" spans="1:13" ht="34.799999999999997" customHeight="1">
      <c r="A1" s="448" t="s">
        <v>359</v>
      </c>
      <c r="B1" s="448"/>
      <c r="C1" s="448"/>
      <c r="D1" s="448"/>
      <c r="E1" s="448"/>
      <c r="F1" s="448"/>
      <c r="G1" s="448"/>
      <c r="H1" s="448"/>
      <c r="I1" s="448"/>
      <c r="J1" s="448"/>
      <c r="K1" s="448"/>
    </row>
    <row r="2" spans="1:13" ht="38.4" customHeight="1">
      <c r="A2" s="438"/>
      <c r="B2" s="453" t="s">
        <v>360</v>
      </c>
      <c r="C2" s="453"/>
      <c r="D2" s="453"/>
      <c r="E2" s="453"/>
      <c r="F2" s="453"/>
      <c r="G2" s="453"/>
      <c r="H2" s="453"/>
      <c r="I2" s="453"/>
      <c r="J2" s="453"/>
      <c r="K2" s="453"/>
    </row>
    <row r="3" spans="1:13" ht="24" customHeight="1" thickBot="1">
      <c r="A3" s="54"/>
      <c r="B3" s="447" t="s">
        <v>87</v>
      </c>
      <c r="C3" s="447"/>
      <c r="D3" s="135"/>
      <c r="E3" s="135"/>
      <c r="F3" s="135"/>
      <c r="G3" s="135"/>
      <c r="H3" s="135"/>
      <c r="I3" s="135"/>
      <c r="J3" s="135"/>
      <c r="K3" s="550" t="s">
        <v>361</v>
      </c>
      <c r="L3" s="551"/>
    </row>
    <row r="4" spans="1:13" ht="27.6" customHeight="1" thickTop="1">
      <c r="A4" s="54"/>
      <c r="B4" s="460" t="s">
        <v>14</v>
      </c>
      <c r="C4" s="460" t="s">
        <v>128</v>
      </c>
      <c r="D4" s="460"/>
      <c r="E4" s="460"/>
      <c r="F4" s="446"/>
      <c r="G4" s="460" t="s">
        <v>129</v>
      </c>
      <c r="H4" s="460"/>
      <c r="I4" s="460"/>
      <c r="J4" s="460"/>
      <c r="K4" s="486" t="s">
        <v>176</v>
      </c>
      <c r="L4" s="1"/>
    </row>
    <row r="5" spans="1:13" ht="36" customHeight="1">
      <c r="A5" s="54"/>
      <c r="B5" s="489"/>
      <c r="C5" s="484" t="s">
        <v>288</v>
      </c>
      <c r="D5" s="484"/>
      <c r="E5" s="484"/>
      <c r="F5" s="482"/>
      <c r="G5" s="484" t="s">
        <v>289</v>
      </c>
      <c r="H5" s="484"/>
      <c r="I5" s="484"/>
      <c r="J5" s="484"/>
      <c r="K5" s="471"/>
    </row>
    <row r="6" spans="1:13" ht="20.399999999999999" customHeight="1">
      <c r="A6" s="54"/>
      <c r="B6" s="489"/>
      <c r="C6" s="328" t="s">
        <v>101</v>
      </c>
      <c r="D6" s="328" t="s">
        <v>102</v>
      </c>
      <c r="E6" s="328" t="s">
        <v>103</v>
      </c>
      <c r="F6" s="482"/>
      <c r="G6" s="328" t="s">
        <v>101</v>
      </c>
      <c r="H6" s="328" t="s">
        <v>102</v>
      </c>
      <c r="I6" s="328" t="s">
        <v>103</v>
      </c>
      <c r="J6" s="328" t="s">
        <v>0</v>
      </c>
      <c r="K6" s="471"/>
    </row>
    <row r="7" spans="1:13" ht="42.6" customHeight="1">
      <c r="A7" s="54"/>
      <c r="B7" s="490"/>
      <c r="C7" s="445" t="s">
        <v>281</v>
      </c>
      <c r="D7" s="445" t="s">
        <v>280</v>
      </c>
      <c r="E7" s="416" t="s">
        <v>282</v>
      </c>
      <c r="F7" s="483"/>
      <c r="G7" s="416" t="s">
        <v>281</v>
      </c>
      <c r="H7" s="416" t="s">
        <v>280</v>
      </c>
      <c r="I7" s="416" t="s">
        <v>282</v>
      </c>
      <c r="J7" s="416" t="s">
        <v>192</v>
      </c>
      <c r="K7" s="487"/>
    </row>
    <row r="8" spans="1:13" ht="30" customHeight="1">
      <c r="A8" s="54"/>
      <c r="B8" s="327" t="s">
        <v>15</v>
      </c>
      <c r="C8" s="169">
        <f>'1أ'!D8/2527830*100</f>
        <v>2.3735773370835855</v>
      </c>
      <c r="D8" s="169">
        <f>'1أ'!E8/3423964*100</f>
        <v>16.182121073702877</v>
      </c>
      <c r="E8" s="169">
        <f>'1أ'!F8/7038749*100</f>
        <v>86.870550434459304</v>
      </c>
      <c r="F8" s="169"/>
      <c r="G8" s="169">
        <f>'1أ'!D8/6728670*100</f>
        <v>0.89170668200402159</v>
      </c>
      <c r="H8" s="169">
        <f>'1أ'!E8/6728670*100</f>
        <v>8.2344653549661384</v>
      </c>
      <c r="I8" s="169">
        <f>'1أ'!F8/6728670*100</f>
        <v>90.873827963029839</v>
      </c>
      <c r="J8" s="169">
        <f t="shared" ref="J8:J23" si="0">SUM(G8:I8)</f>
        <v>100</v>
      </c>
      <c r="K8" s="353" t="s">
        <v>177</v>
      </c>
      <c r="L8" s="132"/>
      <c r="M8" s="132"/>
    </row>
    <row r="9" spans="1:13" s="27" customFormat="1" ht="30" customHeight="1">
      <c r="A9" s="54"/>
      <c r="B9" s="69" t="s">
        <v>1</v>
      </c>
      <c r="C9" s="169">
        <f>'1أ'!D9/2527830*100</f>
        <v>8.5053187912161814</v>
      </c>
      <c r="D9" s="169">
        <f>'1أ'!E9/3423964*100</f>
        <v>12.783720856878167</v>
      </c>
      <c r="E9" s="169">
        <f>'1أ'!F9/7038749*100</f>
        <v>6.713820879249992</v>
      </c>
      <c r="F9" s="169"/>
      <c r="G9" s="169">
        <f>'1أ'!D9/1125279*100</f>
        <v>19.106372730673904</v>
      </c>
      <c r="H9" s="169">
        <f>'1أ'!E9/1125279*100</f>
        <v>38.897908874154766</v>
      </c>
      <c r="I9" s="169">
        <f>'1أ'!F9/1125279*100</f>
        <v>41.99571839517133</v>
      </c>
      <c r="J9" s="169">
        <f t="shared" si="0"/>
        <v>100</v>
      </c>
      <c r="K9" s="354" t="s">
        <v>178</v>
      </c>
      <c r="L9" s="132"/>
      <c r="M9" s="132"/>
    </row>
    <row r="10" spans="1:13" s="27" customFormat="1" ht="30" customHeight="1">
      <c r="A10" s="54"/>
      <c r="B10" s="70" t="s">
        <v>2</v>
      </c>
      <c r="C10" s="169">
        <f>'1أ'!D10/2527830*100</f>
        <v>1.5823848913890568</v>
      </c>
      <c r="D10" s="169">
        <f>'1أ'!E10/3423964*100</f>
        <v>1.8451420634095452</v>
      </c>
      <c r="E10" s="169">
        <f>'1أ'!F10/7038749*100</f>
        <v>1.7852604205662113</v>
      </c>
      <c r="F10" s="169"/>
      <c r="G10" s="169">
        <f>'1أ'!D10/228837*100</f>
        <v>17.479690784270026</v>
      </c>
      <c r="H10" s="169">
        <f>'1أ'!E10/228837*100</f>
        <v>27.607860616945683</v>
      </c>
      <c r="I10" s="169">
        <f>'1أ'!F10/228837*100</f>
        <v>54.912448598784295</v>
      </c>
      <c r="J10" s="169">
        <f t="shared" si="0"/>
        <v>100</v>
      </c>
      <c r="K10" s="355" t="s">
        <v>179</v>
      </c>
      <c r="L10" s="132"/>
      <c r="M10" s="132"/>
    </row>
    <row r="11" spans="1:13" ht="30" customHeight="1">
      <c r="A11" s="54"/>
      <c r="B11" s="38" t="s">
        <v>24</v>
      </c>
      <c r="C11" s="169">
        <f>'1أ'!D11/2527830*100</f>
        <v>5.8548240981395114</v>
      </c>
      <c r="D11" s="169">
        <f>'1أ'!E11/3423964*100</f>
        <v>17.380439747614169</v>
      </c>
      <c r="E11" s="169">
        <f>'1أ'!F11/7038749*100</f>
        <v>0</v>
      </c>
      <c r="F11" s="169"/>
      <c r="G11" s="169">
        <f>'1أ'!D11/743100*100</f>
        <v>19.916565738124074</v>
      </c>
      <c r="H11" s="169">
        <f>'1أ'!E11/743100*100</f>
        <v>80.083434261875936</v>
      </c>
      <c r="I11" s="169">
        <f>'1أ'!F11/743100*100</f>
        <v>0</v>
      </c>
      <c r="J11" s="169">
        <f t="shared" si="0"/>
        <v>100.00000000000001</v>
      </c>
      <c r="K11" s="355" t="s">
        <v>180</v>
      </c>
      <c r="L11" s="132"/>
      <c r="M11" s="132"/>
    </row>
    <row r="12" spans="1:13" ht="30" customHeight="1">
      <c r="A12" s="54"/>
      <c r="B12" s="39" t="s">
        <v>3</v>
      </c>
      <c r="C12" s="169">
        <f>'1أ'!D12/2527830*100</f>
        <v>4.5493565627435384</v>
      </c>
      <c r="D12" s="169">
        <f>'1أ'!E12/3423964*100</f>
        <v>0.89705966534694881</v>
      </c>
      <c r="E12" s="169">
        <f>'1أ'!F12/7038749*100</f>
        <v>0</v>
      </c>
      <c r="F12" s="169"/>
      <c r="G12" s="169">
        <f>'1أ'!D12/145715*100</f>
        <v>78.921181758912951</v>
      </c>
      <c r="H12" s="169">
        <f>'1أ'!E12/145715*100</f>
        <v>21.078818241087053</v>
      </c>
      <c r="I12" s="169">
        <f>'1أ'!F12/145715*100</f>
        <v>0</v>
      </c>
      <c r="J12" s="169">
        <f t="shared" si="0"/>
        <v>100</v>
      </c>
      <c r="K12" s="354" t="s">
        <v>181</v>
      </c>
      <c r="L12" s="132"/>
      <c r="M12" s="132"/>
    </row>
    <row r="13" spans="1:13" s="68" customFormat="1" ht="30" customHeight="1">
      <c r="A13" s="54"/>
      <c r="B13" s="69" t="s">
        <v>4</v>
      </c>
      <c r="C13" s="169">
        <f>'1أ'!D13/2527830*100</f>
        <v>7.3580897449591145</v>
      </c>
      <c r="D13" s="169">
        <f>'1أ'!E13/3423964*100</f>
        <v>0</v>
      </c>
      <c r="E13" s="169">
        <f>'1أ'!F13/7038749*100</f>
        <v>0</v>
      </c>
      <c r="F13" s="169"/>
      <c r="G13" s="169">
        <f>'1أ'!D13/186000*100</f>
        <v>100</v>
      </c>
      <c r="H13" s="169">
        <f>'1أ'!E13/186000*100</f>
        <v>0</v>
      </c>
      <c r="I13" s="169">
        <f>'1أ'!F13/186000*100</f>
        <v>0</v>
      </c>
      <c r="J13" s="169">
        <f t="shared" si="0"/>
        <v>100</v>
      </c>
      <c r="K13" s="354" t="s">
        <v>182</v>
      </c>
      <c r="L13" s="132"/>
      <c r="M13" s="132"/>
    </row>
    <row r="14" spans="1:13" s="68" customFormat="1" ht="30" customHeight="1">
      <c r="A14" s="54"/>
      <c r="B14" s="70" t="s">
        <v>5</v>
      </c>
      <c r="C14" s="169">
        <f>'1أ'!D14/2527830*100</f>
        <v>0.73185301226743893</v>
      </c>
      <c r="D14" s="169">
        <f>'1أ'!E14/3423964*100</f>
        <v>4.0930044825237646</v>
      </c>
      <c r="E14" s="169">
        <f>'1أ'!F14/7038749*100</f>
        <v>0</v>
      </c>
      <c r="F14" s="169"/>
      <c r="G14" s="169">
        <f>'1أ'!D14/158643*100</f>
        <v>11.661403276539147</v>
      </c>
      <c r="H14" s="169">
        <f>'1أ'!E14/158643*100</f>
        <v>88.338596723460853</v>
      </c>
      <c r="I14" s="169">
        <f>'1أ'!F14/158643*100</f>
        <v>0</v>
      </c>
      <c r="J14" s="169">
        <f t="shared" si="0"/>
        <v>100</v>
      </c>
      <c r="K14" s="355" t="s">
        <v>183</v>
      </c>
      <c r="L14" s="132"/>
      <c r="M14" s="132"/>
    </row>
    <row r="15" spans="1:13" ht="30" customHeight="1">
      <c r="A15" s="54"/>
      <c r="B15" s="39" t="s">
        <v>6</v>
      </c>
      <c r="C15" s="169">
        <f>'1أ'!D15/2527830*100</f>
        <v>27.652175977023774</v>
      </c>
      <c r="D15" s="169">
        <f>'1أ'!E15/3423964*100</f>
        <v>0.20517154970087301</v>
      </c>
      <c r="E15" s="169">
        <f>'1أ'!F15/7038749*100</f>
        <v>1.2533477184653126</v>
      </c>
      <c r="F15" s="169"/>
      <c r="G15" s="169">
        <f>'1أ'!D15/794245*100</f>
        <v>88.008108329293862</v>
      </c>
      <c r="H15" s="169">
        <f>'1أ'!E15/794245*100</f>
        <v>0.88448778399612216</v>
      </c>
      <c r="I15" s="169">
        <f>'1أ'!F15/794245*100</f>
        <v>11.107403886710019</v>
      </c>
      <c r="J15" s="169">
        <f t="shared" si="0"/>
        <v>100</v>
      </c>
      <c r="K15" s="354" t="s">
        <v>184</v>
      </c>
      <c r="L15" s="132"/>
      <c r="M15" s="132"/>
    </row>
    <row r="16" spans="1:13" ht="30" customHeight="1">
      <c r="A16" s="54"/>
      <c r="B16" s="70" t="s">
        <v>19</v>
      </c>
      <c r="C16" s="169">
        <f>'1أ'!D16/2527830*100</f>
        <v>1.5428252691043305</v>
      </c>
      <c r="D16" s="169">
        <f>'1أ'!E16/3423964*100</f>
        <v>33.995684534066363</v>
      </c>
      <c r="E16" s="169">
        <f>'1أ'!F16/7038749*100</f>
        <v>2.4251468549311817</v>
      </c>
      <c r="F16" s="169"/>
      <c r="G16" s="169">
        <f>'1أ'!D16/1373700*100</f>
        <v>2.8390478270364712</v>
      </c>
      <c r="H16" s="169">
        <f>'1أ'!E16/1373700*100</f>
        <v>84.734658222319283</v>
      </c>
      <c r="I16" s="169">
        <f>'1أ'!F16/1373700*100</f>
        <v>12.426293950644245</v>
      </c>
      <c r="J16" s="169">
        <f t="shared" si="0"/>
        <v>100</v>
      </c>
      <c r="K16" s="355" t="s">
        <v>185</v>
      </c>
      <c r="L16" s="132"/>
      <c r="M16" s="132"/>
    </row>
    <row r="17" spans="1:13" s="27" customFormat="1" ht="30" customHeight="1">
      <c r="A17" s="54"/>
      <c r="B17" s="70" t="s">
        <v>8</v>
      </c>
      <c r="C17" s="169">
        <f>'1أ'!D17/2527830*100</f>
        <v>4.9777872720871263</v>
      </c>
      <c r="D17" s="169">
        <f>'1أ'!E17/3423964*100</f>
        <v>3.0279231907812112</v>
      </c>
      <c r="E17" s="169">
        <f>'1أ'!F17/7038749*100</f>
        <v>0</v>
      </c>
      <c r="F17" s="169"/>
      <c r="G17" s="169">
        <f>'1أ'!D17/229505*100</f>
        <v>54.826692228927477</v>
      </c>
      <c r="H17" s="169">
        <f>'1أ'!E17/229505*100</f>
        <v>45.173307771072523</v>
      </c>
      <c r="I17" s="169">
        <f>'1أ'!F17/229505*100</f>
        <v>0</v>
      </c>
      <c r="J17" s="169">
        <f t="shared" si="0"/>
        <v>100</v>
      </c>
      <c r="K17" s="355" t="s">
        <v>186</v>
      </c>
      <c r="L17" s="132"/>
      <c r="M17" s="132"/>
    </row>
    <row r="18" spans="1:13" s="68" customFormat="1" ht="30" customHeight="1">
      <c r="A18" s="54"/>
      <c r="B18" s="69" t="s">
        <v>118</v>
      </c>
      <c r="C18" s="169">
        <f>'1أ'!D18/2527830*100</f>
        <v>12.500840641973552</v>
      </c>
      <c r="D18" s="169">
        <f>'1أ'!E18/3423964*100</f>
        <v>0.36507393185208725</v>
      </c>
      <c r="E18" s="169">
        <f>'1أ'!F18/7038749*100</f>
        <v>0</v>
      </c>
      <c r="F18" s="169"/>
      <c r="G18" s="169">
        <f>'1أ'!D18/328500*100</f>
        <v>96.194824961948243</v>
      </c>
      <c r="H18" s="169">
        <f>'1أ'!E18/328500*100</f>
        <v>3.8051750380517504</v>
      </c>
      <c r="I18" s="169">
        <f>'1أ'!F18/328500*100</f>
        <v>0</v>
      </c>
      <c r="J18" s="169">
        <f t="shared" si="0"/>
        <v>100</v>
      </c>
      <c r="K18" s="354" t="s">
        <v>187</v>
      </c>
      <c r="L18" s="132"/>
      <c r="M18" s="132"/>
    </row>
    <row r="19" spans="1:13" s="27" customFormat="1" ht="30" customHeight="1">
      <c r="A19" s="54"/>
      <c r="B19" s="70" t="s">
        <v>10</v>
      </c>
      <c r="C19" s="169">
        <f>'1أ'!D19/2527830*100</f>
        <v>2.6109350707919443</v>
      </c>
      <c r="D19" s="169">
        <f>'1أ'!E19/3423964*100</f>
        <v>8.5091432036084491</v>
      </c>
      <c r="E19" s="169">
        <f>'1أ'!F19/7038749*100</f>
        <v>0</v>
      </c>
      <c r="F19" s="169"/>
      <c r="G19" s="169">
        <f>'1أ'!D19/357350*100</f>
        <v>18.469287813068419</v>
      </c>
      <c r="H19" s="169">
        <f>'1أ'!E19/357350*100</f>
        <v>81.530712186931581</v>
      </c>
      <c r="I19" s="169">
        <f>'1أ'!F19/357350*100</f>
        <v>0</v>
      </c>
      <c r="J19" s="169">
        <f t="shared" si="0"/>
        <v>100</v>
      </c>
      <c r="K19" s="355" t="s">
        <v>188</v>
      </c>
      <c r="L19" s="132"/>
      <c r="M19" s="132"/>
    </row>
    <row r="20" spans="1:13" s="68" customFormat="1" ht="30" customHeight="1">
      <c r="A20" s="54"/>
      <c r="B20" s="70" t="s">
        <v>11</v>
      </c>
      <c r="C20" s="169">
        <f>'1أ'!D20/2527830*100</f>
        <v>8.7822361472092663</v>
      </c>
      <c r="D20" s="169">
        <f>'1أ'!E20/3423964*100</f>
        <v>7.7103614407160823E-3</v>
      </c>
      <c r="E20" s="169">
        <f>'1أ'!F20/7038749*100</f>
        <v>0</v>
      </c>
      <c r="F20" s="169"/>
      <c r="G20" s="169">
        <f>'1أ'!D20/222264*100</f>
        <v>99.881222330201922</v>
      </c>
      <c r="H20" s="169">
        <f>'1أ'!E20/222264*100</f>
        <v>0.11877766979807797</v>
      </c>
      <c r="I20" s="169">
        <f>'1أ'!F20/222264*100</f>
        <v>0</v>
      </c>
      <c r="J20" s="169">
        <f t="shared" si="0"/>
        <v>100</v>
      </c>
      <c r="K20" s="355" t="s">
        <v>189</v>
      </c>
      <c r="L20" s="132"/>
      <c r="M20" s="132"/>
    </row>
    <row r="21" spans="1:13" s="68" customFormat="1" ht="30" customHeight="1">
      <c r="A21" s="54"/>
      <c r="B21" s="72" t="s">
        <v>12</v>
      </c>
      <c r="C21" s="169">
        <f>'1أ'!D21/2527830*100</f>
        <v>9.6129882151885209</v>
      </c>
      <c r="D21" s="169">
        <f>'1أ'!E21/3423964*100</f>
        <v>0.60222595798320311</v>
      </c>
      <c r="E21" s="169">
        <f>'1أ'!F21/7038749*100</f>
        <v>0.95187369232799746</v>
      </c>
      <c r="F21" s="169"/>
      <c r="G21" s="169">
        <f>'1أ'!D21/330620*100</f>
        <v>73.498275966366222</v>
      </c>
      <c r="H21" s="169">
        <f>'1أ'!E21/330620*100</f>
        <v>6.2367672857056435</v>
      </c>
      <c r="I21" s="169">
        <f>'1أ'!F21/330620*100</f>
        <v>20.264956747928135</v>
      </c>
      <c r="J21" s="169">
        <f t="shared" si="0"/>
        <v>100</v>
      </c>
      <c r="K21" s="356" t="s">
        <v>218</v>
      </c>
      <c r="L21" s="132"/>
      <c r="M21" s="132"/>
    </row>
    <row r="22" spans="1:13" s="27" customFormat="1" ht="30" customHeight="1" thickBot="1">
      <c r="A22" s="54"/>
      <c r="B22" s="183" t="s">
        <v>119</v>
      </c>
      <c r="C22" s="169">
        <f>'1أ'!D22/2527830*100</f>
        <v>1.3648069688230617</v>
      </c>
      <c r="D22" s="169">
        <f>'1أ'!E22/3423964*100</f>
        <v>0.10557938109162363</v>
      </c>
      <c r="E22" s="169">
        <f>'1أ'!F22/7038749*100</f>
        <v>0</v>
      </c>
      <c r="F22" s="169"/>
      <c r="G22" s="169">
        <f>'1أ'!D22/38115*100</f>
        <v>90.5155450609996</v>
      </c>
      <c r="H22" s="169">
        <f>'1أ'!E22/38115*100</f>
        <v>9.4844549390003934</v>
      </c>
      <c r="I22" s="169">
        <f>'1أ'!F22/38115*100</f>
        <v>0</v>
      </c>
      <c r="J22" s="169">
        <f t="shared" si="0"/>
        <v>100</v>
      </c>
      <c r="K22" s="357" t="s">
        <v>191</v>
      </c>
      <c r="L22" s="132"/>
      <c r="M22" s="132"/>
    </row>
    <row r="23" spans="1:13" s="5" customFormat="1" ht="30" customHeight="1" thickTop="1" thickBot="1">
      <c r="B23" s="440" t="s">
        <v>27</v>
      </c>
      <c r="C23" s="413">
        <v>100</v>
      </c>
      <c r="D23" s="413">
        <v>100</v>
      </c>
      <c r="E23" s="413">
        <v>100</v>
      </c>
      <c r="F23" s="413"/>
      <c r="G23" s="413">
        <f>'1أ'!D23/12990543*100</f>
        <v>19.45900182925379</v>
      </c>
      <c r="H23" s="413">
        <f>'1أ'!E23/12990543*100</f>
        <v>26.357358580007013</v>
      </c>
      <c r="I23" s="413">
        <f>'1أ'!F23/12990543*100</f>
        <v>54.183639590739197</v>
      </c>
      <c r="J23" s="413">
        <f t="shared" si="0"/>
        <v>100</v>
      </c>
      <c r="K23" s="414" t="s">
        <v>197</v>
      </c>
    </row>
    <row r="24" spans="1:13" s="5" customFormat="1" ht="4.5" customHeight="1" thickTop="1">
      <c r="B24" s="112"/>
      <c r="C24" s="173"/>
      <c r="D24" s="173"/>
      <c r="E24" s="173"/>
      <c r="F24" s="173"/>
      <c r="G24" s="173"/>
      <c r="H24" s="173"/>
      <c r="I24" s="173"/>
      <c r="J24" s="173"/>
    </row>
    <row r="25" spans="1:13" ht="10.8" customHeight="1">
      <c r="B25" s="441"/>
      <c r="C25" s="180"/>
      <c r="D25" s="488"/>
      <c r="E25" s="488"/>
      <c r="F25" s="488"/>
      <c r="G25" s="488"/>
      <c r="H25" s="488"/>
      <c r="I25" s="488"/>
      <c r="J25" s="488"/>
    </row>
    <row r="26" spans="1:13" ht="30.6" customHeight="1">
      <c r="B26" s="452" t="s">
        <v>50</v>
      </c>
      <c r="C26" s="452"/>
      <c r="D26" s="452"/>
      <c r="E26" s="402"/>
      <c r="F26" s="402"/>
      <c r="G26" s="402"/>
      <c r="H26" s="485" t="s">
        <v>198</v>
      </c>
      <c r="I26" s="485"/>
      <c r="J26" s="485"/>
      <c r="K26" s="485"/>
    </row>
    <row r="27" spans="1:13" ht="139.19999999999999" customHeight="1">
      <c r="B27" s="439"/>
      <c r="C27" s="439"/>
      <c r="D27" s="439"/>
      <c r="E27" s="439"/>
      <c r="F27" s="442"/>
      <c r="G27" s="442"/>
      <c r="H27" s="442"/>
      <c r="I27" s="442"/>
      <c r="J27" s="442"/>
    </row>
    <row r="28" spans="1:13" ht="19.8" customHeight="1">
      <c r="B28" s="480" t="s">
        <v>35</v>
      </c>
      <c r="C28" s="480"/>
      <c r="D28" s="480"/>
      <c r="E28" s="44"/>
      <c r="F28" s="44"/>
      <c r="G28" s="44">
        <v>15</v>
      </c>
      <c r="H28" s="44"/>
      <c r="I28" s="481" t="s">
        <v>200</v>
      </c>
      <c r="J28" s="481"/>
      <c r="K28" s="481"/>
    </row>
    <row r="29" spans="1:13" ht="19.8" customHeight="1">
      <c r="B29" s="3"/>
    </row>
    <row r="32" spans="1:13">
      <c r="B32" s="7"/>
    </row>
    <row r="33" spans="2:2" ht="15.6">
      <c r="B33" s="4"/>
    </row>
  </sheetData>
  <mergeCells count="15">
    <mergeCell ref="B2:K2"/>
    <mergeCell ref="A1:K1"/>
    <mergeCell ref="I28:K28"/>
    <mergeCell ref="F5:F7"/>
    <mergeCell ref="B28:D28"/>
    <mergeCell ref="B26:D26"/>
    <mergeCell ref="G4:J4"/>
    <mergeCell ref="G5:J5"/>
    <mergeCell ref="H26:K26"/>
    <mergeCell ref="K4:K7"/>
    <mergeCell ref="D25:J25"/>
    <mergeCell ref="B3:C3"/>
    <mergeCell ref="B4:B7"/>
    <mergeCell ref="C4:E4"/>
    <mergeCell ref="C5:E5"/>
  </mergeCells>
  <printOptions horizontalCentered="1" verticalCentered="1"/>
  <pageMargins left="0.74803149606299202" right="0.74803149606299202" top="0" bottom="0.196850393700787" header="0" footer="0"/>
  <pageSetup paperSize="9" scale="7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7030A0"/>
  </sheetPr>
  <dimension ref="A1:P28"/>
  <sheetViews>
    <sheetView rightToLeft="1" view="pageBreakPreview" topLeftCell="A4" zoomScaleSheetLayoutView="100" workbookViewId="0">
      <selection activeCell="P4" sqref="P4"/>
    </sheetView>
  </sheetViews>
  <sheetFormatPr defaultColWidth="9.109375" defaultRowHeight="13.2"/>
  <cols>
    <col min="1" max="1" width="4.5546875" style="53" customWidth="1"/>
    <col min="2" max="2" width="10.5546875" style="53" customWidth="1"/>
    <col min="3" max="4" width="10.6640625" style="53" customWidth="1"/>
    <col min="5" max="5" width="10.109375" style="53" customWidth="1"/>
    <col min="6" max="6" width="12" style="53" customWidth="1"/>
    <col min="7" max="7" width="1" style="53" customWidth="1"/>
    <col min="8" max="8" width="8.5546875" style="53" customWidth="1"/>
    <col min="9" max="10" width="8.88671875" style="53" customWidth="1"/>
    <col min="11" max="11" width="11.77734375" style="53" customWidth="1"/>
    <col min="12" max="12" width="11" style="53" bestFit="1" customWidth="1"/>
    <col min="13" max="13" width="12.6640625" style="53" customWidth="1"/>
    <col min="14" max="16384" width="9.109375" style="53"/>
  </cols>
  <sheetData>
    <row r="1" spans="1:16" ht="37.5" customHeight="1">
      <c r="A1" s="448" t="s">
        <v>141</v>
      </c>
      <c r="B1" s="448"/>
      <c r="C1" s="448"/>
      <c r="D1" s="448"/>
      <c r="E1" s="448"/>
      <c r="F1" s="448"/>
      <c r="G1" s="448"/>
      <c r="H1" s="448"/>
      <c r="I1" s="448"/>
      <c r="J1" s="448"/>
      <c r="K1" s="448"/>
    </row>
    <row r="2" spans="1:16" ht="42" customHeight="1">
      <c r="A2" s="292"/>
      <c r="B2" s="453" t="s">
        <v>290</v>
      </c>
      <c r="C2" s="453"/>
      <c r="D2" s="453"/>
      <c r="E2" s="453"/>
      <c r="F2" s="453"/>
      <c r="G2" s="453"/>
      <c r="H2" s="453"/>
      <c r="I2" s="453"/>
      <c r="J2" s="453"/>
      <c r="K2" s="453"/>
    </row>
    <row r="3" spans="1:16" ht="25.5" customHeight="1" thickBot="1">
      <c r="A3" s="54"/>
      <c r="B3" s="46" t="s">
        <v>100</v>
      </c>
      <c r="H3" s="135"/>
      <c r="I3" s="135"/>
      <c r="J3" s="331"/>
      <c r="K3" s="389" t="s">
        <v>362</v>
      </c>
      <c r="L3" s="1"/>
    </row>
    <row r="4" spans="1:16" ht="24" customHeight="1" thickTop="1">
      <c r="A4" s="54"/>
      <c r="B4" s="460" t="s">
        <v>55</v>
      </c>
      <c r="C4" s="460" t="s">
        <v>117</v>
      </c>
      <c r="D4" s="460"/>
      <c r="E4" s="460"/>
      <c r="F4" s="460"/>
      <c r="G4" s="155"/>
      <c r="H4" s="460" t="s">
        <v>95</v>
      </c>
      <c r="I4" s="460"/>
      <c r="J4" s="460"/>
      <c r="K4" s="460"/>
      <c r="L4" s="467"/>
    </row>
    <row r="5" spans="1:16" ht="29.25" customHeight="1">
      <c r="A5" s="54"/>
      <c r="B5" s="489"/>
      <c r="C5" s="492" t="s">
        <v>291</v>
      </c>
      <c r="D5" s="492"/>
      <c r="E5" s="492"/>
      <c r="F5" s="492"/>
      <c r="G5" s="326"/>
      <c r="H5" s="484" t="s">
        <v>289</v>
      </c>
      <c r="I5" s="484"/>
      <c r="J5" s="484"/>
      <c r="K5" s="484"/>
      <c r="L5" s="467"/>
    </row>
    <row r="6" spans="1:16" ht="24.75" customHeight="1">
      <c r="A6" s="54"/>
      <c r="B6" s="489" t="s">
        <v>208</v>
      </c>
      <c r="C6" s="328" t="s">
        <v>101</v>
      </c>
      <c r="D6" s="328" t="s">
        <v>102</v>
      </c>
      <c r="E6" s="328" t="s">
        <v>103</v>
      </c>
      <c r="F6" s="420" t="s">
        <v>0</v>
      </c>
      <c r="G6" s="329"/>
      <c r="H6" s="328" t="s">
        <v>101</v>
      </c>
      <c r="I6" s="328" t="s">
        <v>102</v>
      </c>
      <c r="J6" s="328" t="s">
        <v>103</v>
      </c>
      <c r="K6" s="328" t="s">
        <v>0</v>
      </c>
      <c r="L6" s="467"/>
      <c r="M6" s="18" t="s">
        <v>101</v>
      </c>
      <c r="N6" s="53" t="s">
        <v>102</v>
      </c>
    </row>
    <row r="7" spans="1:16" ht="43.8" customHeight="1">
      <c r="A7" s="54"/>
      <c r="B7" s="490"/>
      <c r="C7" s="422" t="s">
        <v>281</v>
      </c>
      <c r="D7" s="422" t="s">
        <v>280</v>
      </c>
      <c r="E7" s="416" t="s">
        <v>282</v>
      </c>
      <c r="F7" s="421" t="s">
        <v>192</v>
      </c>
      <c r="G7" s="242"/>
      <c r="H7" s="422" t="s">
        <v>281</v>
      </c>
      <c r="I7" s="422" t="s">
        <v>280</v>
      </c>
      <c r="J7" s="416" t="s">
        <v>282</v>
      </c>
      <c r="K7" s="417" t="s">
        <v>192</v>
      </c>
      <c r="L7" s="299"/>
      <c r="M7" s="18"/>
    </row>
    <row r="8" spans="1:16" ht="35.1" customHeight="1">
      <c r="A8" s="54"/>
      <c r="B8" s="232" t="s">
        <v>109</v>
      </c>
      <c r="C8" s="239">
        <v>6479702</v>
      </c>
      <c r="D8" s="239">
        <v>1843292</v>
      </c>
      <c r="E8" s="239">
        <v>6239946</v>
      </c>
      <c r="F8" s="239">
        <f t="shared" ref="F8:F15" si="0">SUM(C8:E8)</f>
        <v>14562940</v>
      </c>
      <c r="G8" s="158"/>
      <c r="H8" s="159">
        <f>C8/14562940*100</f>
        <v>44.494463343253493</v>
      </c>
      <c r="I8" s="159">
        <f>D8/14562940*100</f>
        <v>12.657416702945969</v>
      </c>
      <c r="J8" s="159">
        <f>E8/14562940*100</f>
        <v>42.848119953800541</v>
      </c>
      <c r="K8" s="159">
        <f t="shared" ref="K8:K17" si="1">SUM(H8:J8)</f>
        <v>100</v>
      </c>
      <c r="L8" s="330" t="s">
        <v>109</v>
      </c>
      <c r="M8" s="288">
        <v>44.494463343253493</v>
      </c>
      <c r="N8" s="288">
        <v>12.657416702945969</v>
      </c>
      <c r="O8" s="132"/>
      <c r="P8" s="132"/>
    </row>
    <row r="9" spans="1:16" s="27" customFormat="1" ht="35.1" customHeight="1">
      <c r="A9" s="54"/>
      <c r="B9" s="233" t="s">
        <v>88</v>
      </c>
      <c r="C9" s="240">
        <v>5643221</v>
      </c>
      <c r="D9" s="240">
        <v>1294416</v>
      </c>
      <c r="E9" s="240">
        <v>501168</v>
      </c>
      <c r="F9" s="240">
        <f t="shared" si="0"/>
        <v>7438805</v>
      </c>
      <c r="G9" s="160"/>
      <c r="H9" s="157">
        <f>C9/7438805*100</f>
        <v>75.861929436246811</v>
      </c>
      <c r="I9" s="157">
        <f>D9/7438805*100</f>
        <v>17.400859412230862</v>
      </c>
      <c r="J9" s="157">
        <f>E9/7438805*100</f>
        <v>6.7372111515223212</v>
      </c>
      <c r="K9" s="157">
        <f t="shared" si="1"/>
        <v>99.999999999999986</v>
      </c>
      <c r="L9" s="233" t="s">
        <v>88</v>
      </c>
      <c r="M9" s="288">
        <v>75.861929436246811</v>
      </c>
      <c r="N9" s="288">
        <v>17.400859412230862</v>
      </c>
      <c r="O9" s="132"/>
      <c r="P9" s="132"/>
    </row>
    <row r="10" spans="1:16" s="27" customFormat="1" ht="35.1" customHeight="1">
      <c r="A10" s="54"/>
      <c r="B10" s="233" t="s">
        <v>89</v>
      </c>
      <c r="C10" s="240">
        <v>4333264</v>
      </c>
      <c r="D10" s="240">
        <v>1386154</v>
      </c>
      <c r="E10" s="240">
        <v>1940646</v>
      </c>
      <c r="F10" s="240">
        <f t="shared" si="0"/>
        <v>7660064</v>
      </c>
      <c r="G10" s="241"/>
      <c r="H10" s="157">
        <f>C10/7660064*100</f>
        <v>56.569553465871827</v>
      </c>
      <c r="I10" s="157">
        <f>D10/7660064*100</f>
        <v>18.095854029418032</v>
      </c>
      <c r="J10" s="157">
        <f>E10/7660064*100</f>
        <v>25.334592504710145</v>
      </c>
      <c r="K10" s="157">
        <f t="shared" si="1"/>
        <v>100</v>
      </c>
      <c r="L10" s="233" t="s">
        <v>89</v>
      </c>
      <c r="M10" s="288">
        <v>56.569553465871827</v>
      </c>
      <c r="N10" s="288">
        <v>18.095854029418032</v>
      </c>
      <c r="O10" s="132"/>
      <c r="P10" s="132"/>
    </row>
    <row r="11" spans="1:16" ht="35.1" customHeight="1">
      <c r="A11" s="54"/>
      <c r="B11" s="233" t="s">
        <v>90</v>
      </c>
      <c r="C11" s="240">
        <v>4992500</v>
      </c>
      <c r="D11" s="240">
        <v>1897704</v>
      </c>
      <c r="E11" s="240">
        <v>2592819</v>
      </c>
      <c r="F11" s="240">
        <f t="shared" si="0"/>
        <v>9483023</v>
      </c>
      <c r="G11" s="160"/>
      <c r="H11" s="157">
        <f>C11/9483023*100</f>
        <v>52.646714027794729</v>
      </c>
      <c r="I11" s="157">
        <f>D11/9483023*100</f>
        <v>20.01159334950469</v>
      </c>
      <c r="J11" s="157">
        <f>E11/9483023*100</f>
        <v>27.341692622700585</v>
      </c>
      <c r="K11" s="157">
        <f t="shared" si="1"/>
        <v>100</v>
      </c>
      <c r="L11" s="233" t="s">
        <v>90</v>
      </c>
      <c r="M11" s="288">
        <v>52.646714027794729</v>
      </c>
      <c r="N11" s="288">
        <v>20.01159334950469</v>
      </c>
      <c r="O11" s="132"/>
      <c r="P11" s="132"/>
    </row>
    <row r="12" spans="1:16" ht="35.1" customHeight="1">
      <c r="A12" s="54"/>
      <c r="B12" s="233" t="s">
        <v>91</v>
      </c>
      <c r="C12" s="240">
        <v>4000000</v>
      </c>
      <c r="D12" s="240">
        <v>1869152</v>
      </c>
      <c r="E12" s="240">
        <v>5524999</v>
      </c>
      <c r="F12" s="240">
        <f t="shared" si="0"/>
        <v>11394151</v>
      </c>
      <c r="G12" s="160"/>
      <c r="H12" s="161">
        <f>C12/11394151*100</f>
        <v>35.105731001809616</v>
      </c>
      <c r="I12" s="161">
        <f>D12/11394151*100</f>
        <v>16.40448682837361</v>
      </c>
      <c r="J12" s="161">
        <f>E12/11394151*100</f>
        <v>48.489782169816777</v>
      </c>
      <c r="K12" s="161">
        <f t="shared" si="1"/>
        <v>100</v>
      </c>
      <c r="L12" s="233" t="s">
        <v>91</v>
      </c>
      <c r="M12" s="288">
        <v>35.105731001809616</v>
      </c>
      <c r="N12" s="288">
        <v>16.40448682837361</v>
      </c>
      <c r="O12" s="132"/>
      <c r="P12" s="132"/>
    </row>
    <row r="13" spans="1:16" s="68" customFormat="1" ht="35.1" customHeight="1">
      <c r="A13" s="54"/>
      <c r="B13" s="233" t="s">
        <v>92</v>
      </c>
      <c r="C13" s="240">
        <v>2711067</v>
      </c>
      <c r="D13" s="240">
        <v>2667842</v>
      </c>
      <c r="E13" s="240">
        <v>6536141</v>
      </c>
      <c r="F13" s="240">
        <f t="shared" si="0"/>
        <v>11915050</v>
      </c>
      <c r="G13" s="160"/>
      <c r="H13" s="157">
        <f>C13/11915050*100</f>
        <v>22.753299398659678</v>
      </c>
      <c r="I13" s="157">
        <f>D13/11915050*100</f>
        <v>22.39052291010109</v>
      </c>
      <c r="J13" s="157">
        <f>E13/11915050*100</f>
        <v>54.856177691239225</v>
      </c>
      <c r="K13" s="157">
        <f t="shared" si="1"/>
        <v>100</v>
      </c>
      <c r="L13" s="233" t="s">
        <v>92</v>
      </c>
      <c r="M13" s="288">
        <v>22.753299398659678</v>
      </c>
      <c r="N13" s="288">
        <v>22.39052291010109</v>
      </c>
      <c r="O13" s="132"/>
      <c r="P13" s="132"/>
    </row>
    <row r="14" spans="1:16" s="68" customFormat="1" ht="35.1" customHeight="1">
      <c r="A14" s="54"/>
      <c r="B14" s="233" t="s">
        <v>110</v>
      </c>
      <c r="C14" s="240">
        <v>6040575</v>
      </c>
      <c r="D14" s="240">
        <v>2723106</v>
      </c>
      <c r="E14" s="240">
        <v>6853422</v>
      </c>
      <c r="F14" s="240">
        <f t="shared" si="0"/>
        <v>15617103</v>
      </c>
      <c r="G14" s="160"/>
      <c r="H14" s="157">
        <f>C14/15617103*100</f>
        <v>38.679228791665139</v>
      </c>
      <c r="I14" s="157">
        <f>D14/15617103*100</f>
        <v>17.436691043146734</v>
      </c>
      <c r="J14" s="157">
        <f>E14/15617103*100</f>
        <v>43.884080165188131</v>
      </c>
      <c r="K14" s="157">
        <f t="shared" si="1"/>
        <v>100</v>
      </c>
      <c r="L14" s="233" t="s">
        <v>110</v>
      </c>
      <c r="M14" s="288">
        <v>38.679228791665139</v>
      </c>
      <c r="N14" s="288">
        <v>17.436691043146734</v>
      </c>
      <c r="O14" s="132"/>
      <c r="P14" s="132"/>
    </row>
    <row r="15" spans="1:16" s="68" customFormat="1" ht="35.1" customHeight="1">
      <c r="A15" s="54"/>
      <c r="B15" s="234" t="s">
        <v>114</v>
      </c>
      <c r="C15" s="240">
        <v>5000000</v>
      </c>
      <c r="D15" s="240">
        <v>2815653</v>
      </c>
      <c r="E15" s="240">
        <v>6722302</v>
      </c>
      <c r="F15" s="240">
        <f t="shared" si="0"/>
        <v>14537955</v>
      </c>
      <c r="G15" s="205"/>
      <c r="H15" s="206">
        <f>C15/14537955*100</f>
        <v>34.392732678014205</v>
      </c>
      <c r="I15" s="206">
        <f>D15/14537955*100</f>
        <v>19.367600188609746</v>
      </c>
      <c r="J15" s="206">
        <f>E15/14537955*100</f>
        <v>46.239667133376052</v>
      </c>
      <c r="K15" s="206">
        <f>SUM(H15:J15)</f>
        <v>100</v>
      </c>
      <c r="L15" s="234" t="s">
        <v>114</v>
      </c>
      <c r="M15" s="288">
        <v>34.392732678014205</v>
      </c>
      <c r="N15" s="288">
        <v>19.367600188609746</v>
      </c>
      <c r="O15" s="132"/>
      <c r="P15" s="132"/>
    </row>
    <row r="16" spans="1:16" ht="35.1" customHeight="1">
      <c r="A16" s="54"/>
      <c r="B16" s="228" t="s">
        <v>93</v>
      </c>
      <c r="C16" s="229">
        <v>2500000</v>
      </c>
      <c r="D16" s="229">
        <v>3107828</v>
      </c>
      <c r="E16" s="229">
        <v>6880954</v>
      </c>
      <c r="F16" s="229">
        <f t="shared" ref="F16" si="2">SUM(C16:E16)</f>
        <v>12488782</v>
      </c>
      <c r="G16" s="92"/>
      <c r="H16" s="170">
        <f>C16/12488782*100</f>
        <v>20.017964922439997</v>
      </c>
      <c r="I16" s="170">
        <f>D16/12488782*100</f>
        <v>24.884956755590736</v>
      </c>
      <c r="J16" s="170">
        <f>E16/12488782*100</f>
        <v>55.097078321969271</v>
      </c>
      <c r="K16" s="170">
        <f t="shared" ref="K16" si="3">SUM(H16:J16)</f>
        <v>100</v>
      </c>
      <c r="L16" s="228" t="s">
        <v>93</v>
      </c>
      <c r="M16" s="288">
        <v>20.017964922439997</v>
      </c>
      <c r="N16" s="288">
        <v>24.884956755590736</v>
      </c>
      <c r="O16" s="132"/>
      <c r="P16" s="132"/>
    </row>
    <row r="17" spans="1:16" ht="35.1" customHeight="1" thickBot="1">
      <c r="A17" s="54"/>
      <c r="B17" s="162" t="s">
        <v>123</v>
      </c>
      <c r="C17" s="207">
        <v>2527830</v>
      </c>
      <c r="D17" s="207">
        <v>3423964</v>
      </c>
      <c r="E17" s="207">
        <v>7038749</v>
      </c>
      <c r="F17" s="207">
        <v>12990543</v>
      </c>
      <c r="G17" s="156"/>
      <c r="H17" s="179">
        <f>C17/12990543*100</f>
        <v>19.45900182925379</v>
      </c>
      <c r="I17" s="179">
        <f t="shared" ref="I17:J17" si="4">D17/12990543*100</f>
        <v>26.357358580007013</v>
      </c>
      <c r="J17" s="179">
        <f t="shared" si="4"/>
        <v>54.183639590739197</v>
      </c>
      <c r="K17" s="179">
        <f t="shared" si="1"/>
        <v>100</v>
      </c>
      <c r="L17" s="162" t="s">
        <v>123</v>
      </c>
      <c r="M17" s="288">
        <v>19.45900182925379</v>
      </c>
      <c r="N17" s="288">
        <v>26.357358580007013</v>
      </c>
      <c r="O17" s="132"/>
      <c r="P17" s="132"/>
    </row>
    <row r="18" spans="1:16" s="5" customFormat="1" ht="10.5" customHeight="1" thickTop="1">
      <c r="B18" s="109"/>
      <c r="C18" s="110"/>
      <c r="D18" s="110"/>
      <c r="E18" s="110"/>
      <c r="F18" s="110"/>
      <c r="G18" s="110"/>
      <c r="H18" s="110"/>
      <c r="I18" s="110"/>
      <c r="J18" s="110"/>
    </row>
    <row r="19" spans="1:16" ht="42.75" customHeight="1">
      <c r="B19" s="493" t="s">
        <v>168</v>
      </c>
      <c r="C19" s="493"/>
      <c r="D19" s="493"/>
      <c r="E19" s="493"/>
      <c r="F19" s="493"/>
      <c r="G19" s="332"/>
      <c r="H19" s="455" t="s">
        <v>292</v>
      </c>
      <c r="I19" s="455"/>
      <c r="J19" s="455"/>
      <c r="K19" s="455"/>
    </row>
    <row r="20" spans="1:16" ht="33.6" customHeight="1">
      <c r="B20" s="491" t="s">
        <v>50</v>
      </c>
      <c r="C20" s="491"/>
      <c r="D20" s="491"/>
      <c r="E20" s="491"/>
      <c r="F20" s="402"/>
      <c r="G20" s="402"/>
      <c r="H20" s="485" t="s">
        <v>198</v>
      </c>
      <c r="I20" s="485"/>
      <c r="J20" s="485"/>
      <c r="K20" s="485"/>
    </row>
    <row r="21" spans="1:16" ht="55.5" customHeight="1">
      <c r="B21" s="260"/>
      <c r="C21" s="260"/>
      <c r="D21" s="260"/>
      <c r="E21" s="260"/>
      <c r="F21" s="260"/>
    </row>
    <row r="22" spans="1:16" ht="67.2" customHeight="1">
      <c r="B22" s="320"/>
      <c r="C22" s="320"/>
      <c r="D22" s="320"/>
      <c r="E22" s="320"/>
      <c r="F22" s="320"/>
      <c r="M22" s="53">
        <v>9</v>
      </c>
    </row>
    <row r="23" spans="1:16" ht="89.25" customHeight="1">
      <c r="B23" s="172"/>
      <c r="C23" s="172"/>
      <c r="D23" s="172"/>
      <c r="E23" s="172"/>
      <c r="F23" s="172"/>
    </row>
    <row r="24" spans="1:16" ht="32.25" customHeight="1">
      <c r="B24" s="480" t="s">
        <v>35</v>
      </c>
      <c r="C24" s="480"/>
      <c r="D24" s="480"/>
      <c r="E24" s="480"/>
      <c r="F24" s="352">
        <v>16</v>
      </c>
      <c r="G24" s="44"/>
      <c r="H24" s="494" t="s">
        <v>200</v>
      </c>
      <c r="I24" s="494"/>
      <c r="J24" s="494"/>
      <c r="K24" s="494"/>
    </row>
    <row r="25" spans="1:16" ht="18.75" customHeight="1">
      <c r="B25" s="3"/>
    </row>
    <row r="28" spans="1:16" ht="15.6">
      <c r="B28" s="4"/>
    </row>
  </sheetData>
  <mergeCells count="15">
    <mergeCell ref="A1:K1"/>
    <mergeCell ref="L4:L6"/>
    <mergeCell ref="B20:E20"/>
    <mergeCell ref="B2:K2"/>
    <mergeCell ref="B24:E24"/>
    <mergeCell ref="C4:F4"/>
    <mergeCell ref="H4:K4"/>
    <mergeCell ref="B4:B5"/>
    <mergeCell ref="C5:F5"/>
    <mergeCell ref="H5:K5"/>
    <mergeCell ref="B19:F19"/>
    <mergeCell ref="H19:K19"/>
    <mergeCell ref="B6:B7"/>
    <mergeCell ref="H24:K24"/>
    <mergeCell ref="H20:K20"/>
  </mergeCells>
  <pageMargins left="0.75" right="0.75" top="0.59" bottom="0.196850393700787" header="0" footer="0"/>
  <pageSetup paperSize="9" scale="9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Y22"/>
  <sheetViews>
    <sheetView rightToLeft="1" tabSelected="1" view="pageBreakPreview" zoomScale="110" zoomScaleSheetLayoutView="110" workbookViewId="0">
      <selection activeCell="F21" sqref="F21"/>
    </sheetView>
  </sheetViews>
  <sheetFormatPr defaultColWidth="9.109375" defaultRowHeight="13.2"/>
  <cols>
    <col min="1" max="1" width="15" style="53" customWidth="1"/>
    <col min="2" max="2" width="18" style="53" customWidth="1"/>
    <col min="3" max="3" width="20.109375" style="53" customWidth="1"/>
    <col min="4" max="4" width="22.5546875" style="53" customWidth="1"/>
    <col min="5" max="5" width="25" style="53" customWidth="1"/>
    <col min="6" max="23" width="24.33203125" style="53" customWidth="1"/>
    <col min="24" max="24" width="9.109375" style="53"/>
    <col min="25" max="25" width="15" style="53" customWidth="1"/>
    <col min="26" max="16384" width="9.109375" style="53"/>
  </cols>
  <sheetData>
    <row r="1" spans="1:25" ht="40.5" customHeight="1">
      <c r="A1" s="497" t="s">
        <v>167</v>
      </c>
      <c r="B1" s="497"/>
      <c r="C1" s="497"/>
      <c r="D1" s="497"/>
      <c r="E1" s="497"/>
      <c r="F1" s="220"/>
      <c r="G1" s="220"/>
      <c r="H1" s="220"/>
      <c r="I1" s="220"/>
      <c r="J1" s="220"/>
      <c r="K1" s="220"/>
      <c r="L1" s="220"/>
      <c r="M1" s="220"/>
      <c r="N1" s="220"/>
      <c r="O1" s="220"/>
      <c r="P1" s="220"/>
      <c r="Q1" s="220"/>
      <c r="R1" s="220"/>
      <c r="S1" s="220"/>
      <c r="T1" s="220"/>
      <c r="U1" s="220"/>
      <c r="V1" s="220"/>
      <c r="W1" s="220"/>
    </row>
    <row r="2" spans="1:25" ht="37.200000000000003" customHeight="1">
      <c r="A2" s="498" t="s">
        <v>293</v>
      </c>
      <c r="B2" s="498"/>
      <c r="C2" s="498"/>
      <c r="D2" s="498"/>
      <c r="E2" s="498"/>
      <c r="F2" s="298"/>
      <c r="G2" s="298"/>
      <c r="H2" s="298"/>
      <c r="I2" s="298"/>
      <c r="J2" s="298"/>
      <c r="K2" s="298"/>
      <c r="L2" s="298"/>
      <c r="M2" s="298"/>
      <c r="N2" s="298"/>
      <c r="O2" s="298"/>
      <c r="P2" s="298"/>
      <c r="Q2" s="298"/>
      <c r="R2" s="298"/>
      <c r="S2" s="298"/>
      <c r="T2" s="298"/>
      <c r="U2" s="298"/>
      <c r="V2" s="298"/>
      <c r="W2" s="298"/>
    </row>
    <row r="3" spans="1:25" ht="21" customHeight="1" thickBot="1">
      <c r="A3" s="41" t="s">
        <v>130</v>
      </c>
      <c r="E3" s="389" t="s">
        <v>346</v>
      </c>
    </row>
    <row r="4" spans="1:25" ht="44.25" customHeight="1" thickTop="1">
      <c r="A4" s="311" t="s">
        <v>55</v>
      </c>
      <c r="B4" s="297" t="s">
        <v>96</v>
      </c>
      <c r="C4" s="297" t="s">
        <v>97</v>
      </c>
      <c r="D4" s="297" t="s">
        <v>98</v>
      </c>
      <c r="E4" s="297" t="s">
        <v>115</v>
      </c>
      <c r="F4" s="219"/>
      <c r="G4" s="219"/>
      <c r="H4" s="219"/>
      <c r="I4" s="219"/>
      <c r="J4" s="219"/>
      <c r="K4" s="219"/>
      <c r="L4" s="219"/>
      <c r="M4" s="219"/>
      <c r="N4" s="219"/>
      <c r="O4" s="219"/>
      <c r="P4" s="219"/>
      <c r="Q4" s="219"/>
      <c r="R4" s="219"/>
      <c r="S4" s="219"/>
      <c r="T4" s="219"/>
      <c r="U4" s="219"/>
      <c r="V4" s="219"/>
      <c r="W4" s="219"/>
      <c r="Y4" s="495" t="s">
        <v>56</v>
      </c>
    </row>
    <row r="5" spans="1:25" ht="41.25" customHeight="1">
      <c r="A5" s="423" t="s">
        <v>208</v>
      </c>
      <c r="B5" s="424" t="s">
        <v>296</v>
      </c>
      <c r="C5" s="424" t="s">
        <v>297</v>
      </c>
      <c r="D5" s="424" t="s">
        <v>298</v>
      </c>
      <c r="E5" s="424" t="s">
        <v>299</v>
      </c>
      <c r="F5" s="219"/>
      <c r="G5" s="219"/>
      <c r="H5" s="219"/>
      <c r="I5" s="219"/>
      <c r="J5" s="219"/>
      <c r="K5" s="219"/>
      <c r="L5" s="219"/>
      <c r="M5" s="219"/>
      <c r="N5" s="219"/>
      <c r="O5" s="219"/>
      <c r="P5" s="219"/>
      <c r="Q5" s="219"/>
      <c r="R5" s="219"/>
      <c r="S5" s="219"/>
      <c r="T5" s="219"/>
      <c r="U5" s="219"/>
      <c r="V5" s="219"/>
      <c r="W5" s="219"/>
      <c r="Y5" s="496"/>
    </row>
    <row r="6" spans="1:25" s="5" customFormat="1" ht="35.1" customHeight="1">
      <c r="A6" s="232" t="s">
        <v>109</v>
      </c>
      <c r="B6" s="200">
        <v>14562940</v>
      </c>
      <c r="C6" s="200">
        <f t="shared" ref="C6:C15" si="0">B6/4</f>
        <v>3640735</v>
      </c>
      <c r="D6" s="200">
        <f t="shared" ref="D6:D15" si="1">C6/100</f>
        <v>36407.35</v>
      </c>
      <c r="E6" s="89">
        <f t="shared" ref="E6:E11" si="2">D6/434128*100</f>
        <v>8.3863169387830307</v>
      </c>
      <c r="F6" s="230"/>
      <c r="G6" s="230"/>
      <c r="H6" s="230"/>
      <c r="I6" s="230"/>
      <c r="J6" s="230"/>
      <c r="K6" s="230"/>
      <c r="L6" s="230"/>
      <c r="M6" s="230"/>
      <c r="N6" s="230"/>
      <c r="O6" s="230"/>
      <c r="P6" s="230"/>
      <c r="Q6" s="230"/>
      <c r="R6" s="230"/>
      <c r="S6" s="230"/>
      <c r="T6" s="230"/>
      <c r="U6" s="230"/>
      <c r="V6" s="230"/>
      <c r="W6" s="230"/>
      <c r="X6" s="5">
        <v>14563.3</v>
      </c>
      <c r="Y6" s="200">
        <v>5462011</v>
      </c>
    </row>
    <row r="7" spans="1:25" s="5" customFormat="1" ht="35.1" customHeight="1">
      <c r="A7" s="233" t="s">
        <v>88</v>
      </c>
      <c r="B7" s="200">
        <v>7438805</v>
      </c>
      <c r="C7" s="203">
        <f t="shared" si="0"/>
        <v>1859701.25</v>
      </c>
      <c r="D7" s="203">
        <f t="shared" si="1"/>
        <v>18597.012500000001</v>
      </c>
      <c r="E7" s="89">
        <f>D7/434128*100</f>
        <v>4.283762507831792</v>
      </c>
      <c r="F7" s="230"/>
      <c r="G7" s="230"/>
      <c r="H7" s="230"/>
      <c r="I7" s="230"/>
      <c r="J7" s="230"/>
      <c r="K7" s="230"/>
      <c r="L7" s="230"/>
      <c r="M7" s="230"/>
      <c r="N7" s="230"/>
      <c r="O7" s="230"/>
      <c r="P7" s="230"/>
      <c r="Q7" s="230"/>
      <c r="R7" s="230"/>
      <c r="S7" s="230"/>
      <c r="T7" s="230"/>
      <c r="U7" s="230"/>
      <c r="V7" s="230"/>
      <c r="W7" s="230"/>
      <c r="X7" s="5">
        <v>6911.5</v>
      </c>
      <c r="Y7" s="200">
        <v>5408287</v>
      </c>
    </row>
    <row r="8" spans="1:25" s="5" customFormat="1" ht="35.1" customHeight="1">
      <c r="A8" s="233" t="s">
        <v>89</v>
      </c>
      <c r="B8" s="200">
        <v>7660064</v>
      </c>
      <c r="C8" s="203">
        <f t="shared" si="0"/>
        <v>1915016</v>
      </c>
      <c r="D8" s="203">
        <f t="shared" si="1"/>
        <v>19150.16</v>
      </c>
      <c r="E8" s="89">
        <f t="shared" si="2"/>
        <v>4.4111782700033171</v>
      </c>
      <c r="F8" s="230"/>
      <c r="G8" s="230"/>
      <c r="H8" s="230"/>
      <c r="I8" s="230"/>
      <c r="J8" s="230"/>
      <c r="K8" s="230"/>
      <c r="L8" s="230"/>
      <c r="M8" s="230"/>
      <c r="N8" s="230"/>
      <c r="O8" s="230"/>
      <c r="P8" s="230"/>
      <c r="Q8" s="230"/>
      <c r="R8" s="230"/>
      <c r="S8" s="230"/>
      <c r="T8" s="230"/>
      <c r="U8" s="230"/>
      <c r="V8" s="230"/>
      <c r="W8" s="230"/>
      <c r="X8" s="5">
        <v>5528.6</v>
      </c>
      <c r="Y8" s="200">
        <v>5450112</v>
      </c>
    </row>
    <row r="9" spans="1:25" s="5" customFormat="1" ht="35.1" customHeight="1">
      <c r="A9" s="233" t="s">
        <v>90</v>
      </c>
      <c r="B9" s="200">
        <v>9483023</v>
      </c>
      <c r="C9" s="203">
        <f t="shared" si="0"/>
        <v>2370755.75</v>
      </c>
      <c r="D9" s="203">
        <f t="shared" si="1"/>
        <v>23707.557499999999</v>
      </c>
      <c r="E9" s="89">
        <f t="shared" si="2"/>
        <v>5.4609602467475034</v>
      </c>
      <c r="F9" s="230"/>
      <c r="G9" s="230"/>
      <c r="H9" s="230"/>
      <c r="I9" s="230"/>
      <c r="J9" s="230"/>
      <c r="K9" s="230"/>
      <c r="L9" s="230"/>
      <c r="M9" s="230"/>
      <c r="N9" s="230"/>
      <c r="O9" s="230"/>
      <c r="P9" s="230"/>
      <c r="Q9" s="230"/>
      <c r="R9" s="230"/>
      <c r="S9" s="230"/>
      <c r="T9" s="230"/>
      <c r="U9" s="230"/>
      <c r="V9" s="230"/>
      <c r="W9" s="230"/>
      <c r="X9" s="5">
        <v>11409.2</v>
      </c>
      <c r="Y9" s="200">
        <v>5449942</v>
      </c>
    </row>
    <row r="10" spans="1:25" s="5" customFormat="1" ht="35.1" customHeight="1">
      <c r="A10" s="233" t="s">
        <v>91</v>
      </c>
      <c r="B10" s="200">
        <v>11394151</v>
      </c>
      <c r="C10" s="203">
        <f t="shared" si="0"/>
        <v>2848537.75</v>
      </c>
      <c r="D10" s="203">
        <f t="shared" si="1"/>
        <v>28485.377499999999</v>
      </c>
      <c r="E10" s="89">
        <f t="shared" si="2"/>
        <v>6.5615158432536029</v>
      </c>
      <c r="F10" s="230"/>
      <c r="G10" s="230"/>
      <c r="H10" s="230"/>
      <c r="I10" s="230"/>
      <c r="J10" s="230"/>
      <c r="K10" s="230"/>
      <c r="L10" s="230"/>
      <c r="M10" s="230"/>
      <c r="N10" s="230"/>
      <c r="O10" s="230"/>
      <c r="P10" s="230"/>
      <c r="Q10" s="230"/>
      <c r="R10" s="230"/>
      <c r="S10" s="230"/>
      <c r="T10" s="230"/>
      <c r="U10" s="230"/>
      <c r="V10" s="230"/>
      <c r="W10" s="230"/>
      <c r="X10" s="5">
        <v>6269.9</v>
      </c>
      <c r="Y10" s="200">
        <v>5449290</v>
      </c>
    </row>
    <row r="11" spans="1:25" s="5" customFormat="1" ht="35.1" customHeight="1">
      <c r="A11" s="233" t="s">
        <v>92</v>
      </c>
      <c r="B11" s="200">
        <v>11915050</v>
      </c>
      <c r="C11" s="203">
        <f t="shared" si="0"/>
        <v>2978762.5</v>
      </c>
      <c r="D11" s="203">
        <f t="shared" si="1"/>
        <v>29787.625</v>
      </c>
      <c r="E11" s="89">
        <f t="shared" si="2"/>
        <v>6.8614844009140157</v>
      </c>
      <c r="F11" s="230"/>
      <c r="G11" s="230"/>
      <c r="H11" s="230"/>
      <c r="I11" s="230"/>
      <c r="J11" s="230"/>
      <c r="K11" s="230"/>
      <c r="L11" s="230"/>
      <c r="M11" s="230"/>
      <c r="N11" s="230"/>
      <c r="O11" s="230"/>
      <c r="P11" s="230"/>
      <c r="Q11" s="230"/>
      <c r="R11" s="230"/>
      <c r="S11" s="230"/>
      <c r="T11" s="230"/>
      <c r="U11" s="230"/>
      <c r="V11" s="230"/>
      <c r="W11" s="230"/>
      <c r="X11" s="5">
        <v>15590.099999999999</v>
      </c>
      <c r="Y11" s="201">
        <v>2848448</v>
      </c>
    </row>
    <row r="12" spans="1:25" s="5" customFormat="1" ht="35.1" customHeight="1">
      <c r="A12" s="233" t="s">
        <v>124</v>
      </c>
      <c r="B12" s="200">
        <v>15617103</v>
      </c>
      <c r="C12" s="203">
        <f t="shared" si="0"/>
        <v>3904275.75</v>
      </c>
      <c r="D12" s="203">
        <f t="shared" si="1"/>
        <v>39042.7575</v>
      </c>
      <c r="E12" s="89">
        <f>D12/434128*100</f>
        <v>8.9933746498728482</v>
      </c>
      <c r="F12" s="230"/>
      <c r="G12" s="230"/>
      <c r="H12" s="230"/>
      <c r="I12" s="230"/>
      <c r="J12" s="230"/>
      <c r="K12" s="230"/>
      <c r="L12" s="230"/>
      <c r="M12" s="230"/>
      <c r="N12" s="230"/>
      <c r="O12" s="230"/>
      <c r="P12" s="230"/>
      <c r="Q12" s="230"/>
      <c r="R12" s="230"/>
      <c r="S12" s="230"/>
      <c r="T12" s="230"/>
      <c r="U12" s="230"/>
      <c r="V12" s="230"/>
      <c r="W12" s="230"/>
      <c r="X12" s="5">
        <v>14560.3</v>
      </c>
      <c r="Y12" s="201">
        <v>2849446</v>
      </c>
    </row>
    <row r="13" spans="1:25" s="5" customFormat="1" ht="35.1" customHeight="1">
      <c r="A13" s="234" t="s">
        <v>114</v>
      </c>
      <c r="B13" s="204">
        <v>14537955</v>
      </c>
      <c r="C13" s="203">
        <f t="shared" si="0"/>
        <v>3634488.75</v>
      </c>
      <c r="D13" s="203">
        <f t="shared" si="1"/>
        <v>36344.887499999997</v>
      </c>
      <c r="E13" s="208">
        <f>D13/434128*100</f>
        <v>8.3719289011535754</v>
      </c>
      <c r="F13" s="230"/>
      <c r="G13" s="230"/>
      <c r="H13" s="230"/>
      <c r="I13" s="230"/>
      <c r="J13" s="230"/>
      <c r="K13" s="230"/>
      <c r="L13" s="230"/>
      <c r="M13" s="230"/>
      <c r="N13" s="230"/>
      <c r="O13" s="230"/>
      <c r="P13" s="230"/>
      <c r="Q13" s="230"/>
      <c r="R13" s="230"/>
      <c r="S13" s="230"/>
      <c r="T13" s="230"/>
      <c r="U13" s="230"/>
      <c r="V13" s="230"/>
      <c r="W13" s="230"/>
      <c r="Y13" s="204"/>
    </row>
    <row r="14" spans="1:25" s="5" customFormat="1" ht="35.1" customHeight="1" thickBot="1">
      <c r="A14" s="238" t="s">
        <v>93</v>
      </c>
      <c r="B14" s="221">
        <v>12488782</v>
      </c>
      <c r="C14" s="221">
        <f t="shared" ref="C14" si="3">B14/4</f>
        <v>3122195.5</v>
      </c>
      <c r="D14" s="221">
        <f t="shared" ref="D14" si="4">C14/100</f>
        <v>31221.955000000002</v>
      </c>
      <c r="E14" s="89">
        <f>D14/434128*100</f>
        <v>7.1918777411270414</v>
      </c>
      <c r="F14" s="230"/>
      <c r="G14" s="230"/>
      <c r="H14" s="230"/>
      <c r="I14" s="230"/>
      <c r="J14" s="230"/>
      <c r="K14" s="230"/>
      <c r="L14" s="230"/>
      <c r="M14" s="230"/>
      <c r="N14" s="230"/>
      <c r="O14" s="230"/>
      <c r="P14" s="230"/>
      <c r="Q14" s="230"/>
      <c r="R14" s="230"/>
      <c r="S14" s="230"/>
      <c r="T14" s="230"/>
      <c r="U14" s="230"/>
      <c r="V14" s="230"/>
      <c r="W14" s="230"/>
      <c r="Y14" s="147">
        <v>2210085</v>
      </c>
    </row>
    <row r="15" spans="1:25" s="5" customFormat="1" ht="35.1" customHeight="1" thickTop="1" thickBot="1">
      <c r="A15" s="235" t="s">
        <v>125</v>
      </c>
      <c r="B15" s="236">
        <v>12990543</v>
      </c>
      <c r="C15" s="236">
        <f t="shared" si="0"/>
        <v>3247635.75</v>
      </c>
      <c r="D15" s="236">
        <f t="shared" si="1"/>
        <v>32476.357499999998</v>
      </c>
      <c r="E15" s="237">
        <f>D15/434128*100</f>
        <v>7.4808253556554742</v>
      </c>
      <c r="F15" s="230"/>
      <c r="G15" s="230"/>
      <c r="H15" s="230"/>
      <c r="I15" s="230"/>
      <c r="J15" s="230"/>
      <c r="K15" s="230"/>
      <c r="L15" s="230"/>
      <c r="M15" s="230"/>
      <c r="N15" s="230"/>
      <c r="O15" s="230"/>
      <c r="P15" s="230"/>
      <c r="Q15" s="230"/>
      <c r="R15" s="230"/>
      <c r="S15" s="230"/>
      <c r="T15" s="230"/>
      <c r="U15" s="230"/>
      <c r="V15" s="230"/>
      <c r="W15" s="230"/>
      <c r="Y15" s="147">
        <v>2210085</v>
      </c>
    </row>
    <row r="16" spans="1:25" s="5" customFormat="1" ht="18" customHeight="1" thickTop="1">
      <c r="A16" s="209"/>
      <c r="B16" s="210"/>
      <c r="C16" s="210"/>
      <c r="D16" s="210"/>
      <c r="E16" s="211"/>
      <c r="F16" s="230"/>
      <c r="G16" s="230"/>
      <c r="H16" s="230"/>
      <c r="I16" s="230"/>
      <c r="J16" s="230"/>
      <c r="K16" s="230"/>
      <c r="L16" s="230"/>
      <c r="M16" s="230"/>
      <c r="N16" s="230"/>
      <c r="O16" s="230"/>
      <c r="P16" s="230"/>
      <c r="Q16" s="230"/>
      <c r="R16" s="230"/>
      <c r="S16" s="230"/>
      <c r="T16" s="230"/>
      <c r="U16" s="230"/>
      <c r="V16" s="230"/>
      <c r="W16" s="230"/>
      <c r="Y16" s="34"/>
    </row>
    <row r="17" spans="1:25" s="5" customFormat="1" ht="28.2" customHeight="1">
      <c r="A17" s="499" t="s">
        <v>301</v>
      </c>
      <c r="B17" s="499"/>
      <c r="C17" s="500" t="s">
        <v>304</v>
      </c>
      <c r="D17" s="500"/>
      <c r="E17" s="500"/>
    </row>
    <row r="18" spans="1:25" s="5" customFormat="1" ht="29.4" customHeight="1">
      <c r="A18" s="499" t="s">
        <v>302</v>
      </c>
      <c r="B18" s="499"/>
      <c r="C18" s="500" t="s">
        <v>305</v>
      </c>
      <c r="D18" s="500"/>
      <c r="E18" s="500"/>
    </row>
    <row r="19" spans="1:25" s="5" customFormat="1" ht="34.200000000000003" customHeight="1">
      <c r="A19" s="499" t="s">
        <v>303</v>
      </c>
      <c r="B19" s="499"/>
      <c r="C19" s="500" t="s">
        <v>306</v>
      </c>
      <c r="D19" s="500"/>
      <c r="E19" s="500"/>
      <c r="F19" s="53"/>
      <c r="G19" s="53"/>
      <c r="H19" s="53"/>
      <c r="I19" s="53"/>
      <c r="J19" s="53"/>
      <c r="K19" s="53"/>
      <c r="L19" s="53"/>
      <c r="M19" s="53"/>
      <c r="N19" s="53"/>
      <c r="O19" s="53"/>
      <c r="P19" s="53"/>
      <c r="Q19" s="53"/>
      <c r="R19" s="53"/>
      <c r="S19" s="53"/>
      <c r="T19" s="53"/>
      <c r="U19" s="53"/>
      <c r="V19" s="53"/>
      <c r="W19" s="53"/>
      <c r="X19" s="53"/>
      <c r="Y19" s="53"/>
    </row>
    <row r="20" spans="1:25" s="5" customFormat="1" ht="75.75" customHeight="1">
      <c r="A20" s="321"/>
      <c r="B20" s="321"/>
      <c r="C20" s="321"/>
      <c r="D20" s="53"/>
      <c r="E20" s="53"/>
      <c r="F20" s="53"/>
      <c r="G20" s="53"/>
      <c r="H20" s="53"/>
      <c r="I20" s="53"/>
      <c r="J20" s="53"/>
      <c r="K20" s="53"/>
      <c r="L20" s="53"/>
      <c r="M20" s="53"/>
      <c r="N20" s="53"/>
      <c r="O20" s="53"/>
      <c r="P20" s="53"/>
      <c r="Q20" s="53"/>
      <c r="R20" s="53"/>
      <c r="S20" s="53"/>
      <c r="T20" s="53"/>
      <c r="U20" s="53"/>
      <c r="V20" s="53"/>
      <c r="W20" s="53"/>
      <c r="X20" s="53"/>
      <c r="Y20" s="53"/>
    </row>
    <row r="21" spans="1:25" s="5" customFormat="1" ht="155.25" customHeight="1">
      <c r="A21" s="199"/>
    </row>
    <row r="22" spans="1:25" ht="27" customHeight="1">
      <c r="A22" s="501" t="s">
        <v>35</v>
      </c>
      <c r="B22" s="501"/>
      <c r="C22" s="393">
        <v>17</v>
      </c>
      <c r="D22" s="494" t="s">
        <v>200</v>
      </c>
      <c r="E22" s="494"/>
      <c r="F22" s="231"/>
      <c r="G22" s="231"/>
      <c r="H22" s="231"/>
      <c r="I22" s="231"/>
      <c r="J22" s="231"/>
      <c r="K22" s="231"/>
      <c r="L22" s="231"/>
      <c r="M22" s="231"/>
      <c r="N22" s="231"/>
      <c r="O22" s="231"/>
      <c r="P22" s="231"/>
      <c r="Q22" s="231"/>
      <c r="R22" s="231"/>
      <c r="S22" s="231"/>
      <c r="T22" s="231"/>
      <c r="U22" s="231"/>
      <c r="V22" s="231"/>
      <c r="W22" s="231"/>
    </row>
  </sheetData>
  <mergeCells count="11">
    <mergeCell ref="A18:B18"/>
    <mergeCell ref="A19:B19"/>
    <mergeCell ref="C18:E18"/>
    <mergeCell ref="C19:E19"/>
    <mergeCell ref="A22:B22"/>
    <mergeCell ref="D22:E22"/>
    <mergeCell ref="Y4:Y5"/>
    <mergeCell ref="A1:E1"/>
    <mergeCell ref="A2:E2"/>
    <mergeCell ref="A17:B17"/>
    <mergeCell ref="C17:E17"/>
  </mergeCells>
  <printOptions horizontalCentered="1"/>
  <pageMargins left="0.74803149606299202" right="0.74803149606299202" top="0.59" bottom="0.55118110236220497" header="0" footer="0"/>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7030A0"/>
  </sheetPr>
  <dimension ref="A1:S50"/>
  <sheetViews>
    <sheetView rightToLeft="1" view="pageBreakPreview" zoomScaleNormal="100" zoomScaleSheetLayoutView="100" workbookViewId="0">
      <selection activeCell="K5" sqref="K5"/>
    </sheetView>
  </sheetViews>
  <sheetFormatPr defaultRowHeight="13.2"/>
  <cols>
    <col min="1" max="1" width="4.6640625" style="53" customWidth="1"/>
    <col min="2" max="2" width="11.109375" customWidth="1"/>
    <col min="3" max="3" width="12.109375" customWidth="1"/>
    <col min="4" max="4" width="14.44140625" style="20" customWidth="1"/>
    <col min="5" max="5" width="0.88671875" style="22" customWidth="1"/>
    <col min="6" max="6" width="16.6640625" customWidth="1"/>
    <col min="7" max="7" width="13.77734375" style="53" customWidth="1"/>
    <col min="8" max="8" width="18.33203125" customWidth="1"/>
    <col min="9" max="9" width="15.21875" customWidth="1"/>
  </cols>
  <sheetData>
    <row r="1" spans="1:19" ht="34.200000000000003" customHeight="1">
      <c r="B1" s="497" t="s">
        <v>126</v>
      </c>
      <c r="C1" s="497"/>
      <c r="D1" s="497"/>
      <c r="E1" s="497"/>
      <c r="F1" s="497"/>
      <c r="G1" s="497"/>
      <c r="H1" s="497"/>
      <c r="I1" s="497"/>
    </row>
    <row r="2" spans="1:19" s="53" customFormat="1" ht="23.25" customHeight="1">
      <c r="B2" s="502" t="s">
        <v>174</v>
      </c>
      <c r="C2" s="502"/>
      <c r="D2" s="502"/>
      <c r="E2" s="502"/>
      <c r="F2" s="502"/>
      <c r="G2" s="502"/>
      <c r="H2" s="502"/>
      <c r="I2" s="502"/>
    </row>
    <row r="3" spans="1:19" s="12" customFormat="1" ht="31.2" customHeight="1" thickBot="1">
      <c r="A3" s="53"/>
      <c r="B3" s="41" t="s">
        <v>62</v>
      </c>
      <c r="C3" s="13"/>
      <c r="D3" s="166"/>
      <c r="E3" s="23"/>
      <c r="F3" s="436" t="s">
        <v>341</v>
      </c>
      <c r="G3" s="437" t="s">
        <v>342</v>
      </c>
      <c r="H3" s="503" t="s">
        <v>175</v>
      </c>
      <c r="I3" s="503"/>
    </row>
    <row r="4" spans="1:19" ht="18" customHeight="1" thickTop="1">
      <c r="B4" s="466" t="s">
        <v>14</v>
      </c>
      <c r="C4" s="460" t="s">
        <v>25</v>
      </c>
      <c r="D4" s="460" t="s">
        <v>343</v>
      </c>
      <c r="E4" s="460"/>
      <c r="F4" s="460"/>
      <c r="G4" s="460" t="s">
        <v>143</v>
      </c>
      <c r="H4" s="510" t="s">
        <v>144</v>
      </c>
      <c r="I4" s="506" t="s">
        <v>176</v>
      </c>
    </row>
    <row r="5" spans="1:19" s="53" customFormat="1" ht="31.8" customHeight="1">
      <c r="B5" s="467"/>
      <c r="C5" s="489"/>
      <c r="D5" s="509" t="s">
        <v>344</v>
      </c>
      <c r="E5" s="509"/>
      <c r="F5" s="509"/>
      <c r="G5" s="489"/>
      <c r="H5" s="511"/>
      <c r="I5" s="507"/>
    </row>
    <row r="6" spans="1:19" ht="27" customHeight="1">
      <c r="B6" s="467"/>
      <c r="C6" s="489"/>
      <c r="D6" s="333" t="s">
        <v>142</v>
      </c>
      <c r="E6" s="57"/>
      <c r="F6" s="167" t="s">
        <v>99</v>
      </c>
      <c r="G6" s="489"/>
      <c r="H6" s="511"/>
      <c r="I6" s="507"/>
    </row>
    <row r="7" spans="1:19" s="53" customFormat="1" ht="68.400000000000006" customHeight="1">
      <c r="B7" s="468"/>
      <c r="C7" s="426" t="s">
        <v>201</v>
      </c>
      <c r="D7" s="425" t="s">
        <v>204</v>
      </c>
      <c r="E7" s="57"/>
      <c r="F7" s="425" t="s">
        <v>202</v>
      </c>
      <c r="G7" s="397" t="s">
        <v>206</v>
      </c>
      <c r="H7" s="427" t="s">
        <v>205</v>
      </c>
      <c r="I7" s="508"/>
      <c r="N7" s="434"/>
    </row>
    <row r="8" spans="1:19" s="5" customFormat="1" ht="24.9" customHeight="1">
      <c r="B8" s="25" t="s">
        <v>15</v>
      </c>
      <c r="C8" s="32" t="s">
        <v>69</v>
      </c>
      <c r="D8" s="103">
        <v>35</v>
      </c>
      <c r="E8" s="32"/>
      <c r="F8" s="175">
        <v>198</v>
      </c>
      <c r="G8" s="243">
        <f>D8+F8</f>
        <v>233</v>
      </c>
      <c r="H8" s="177">
        <f>G8</f>
        <v>233</v>
      </c>
      <c r="I8" s="353" t="s">
        <v>177</v>
      </c>
      <c r="N8" s="435"/>
    </row>
    <row r="9" spans="1:19" s="5" customFormat="1" ht="24.9" customHeight="1">
      <c r="B9" s="85" t="s">
        <v>51</v>
      </c>
      <c r="C9" s="168" t="s">
        <v>69</v>
      </c>
      <c r="D9" s="101">
        <v>1281</v>
      </c>
      <c r="E9" s="90"/>
      <c r="F9" s="176" t="s">
        <v>69</v>
      </c>
      <c r="G9" s="101">
        <f>D9</f>
        <v>1281</v>
      </c>
      <c r="H9" s="101">
        <f>D9</f>
        <v>1281</v>
      </c>
      <c r="I9" s="354" t="s">
        <v>178</v>
      </c>
      <c r="M9" s="41"/>
      <c r="N9" s="41"/>
      <c r="O9" s="41"/>
      <c r="P9" s="41"/>
      <c r="Q9" s="41"/>
      <c r="R9" s="41"/>
      <c r="S9" s="41"/>
    </row>
    <row r="10" spans="1:19" s="5" customFormat="1" ht="24.9" customHeight="1">
      <c r="B10" s="21" t="s">
        <v>2</v>
      </c>
      <c r="C10" s="102">
        <v>136244</v>
      </c>
      <c r="D10" s="102">
        <v>644</v>
      </c>
      <c r="E10" s="40"/>
      <c r="F10" s="101">
        <v>556</v>
      </c>
      <c r="G10" s="246">
        <f t="shared" ref="G10:G21" si="0">D10+F10</f>
        <v>1200</v>
      </c>
      <c r="H10" s="101">
        <f>C10+D10+F10</f>
        <v>137444</v>
      </c>
      <c r="I10" s="355" t="s">
        <v>179</v>
      </c>
    </row>
    <row r="11" spans="1:19" s="5" customFormat="1" ht="24.9" customHeight="1">
      <c r="B11" s="26" t="s">
        <v>24</v>
      </c>
      <c r="C11" s="106">
        <v>0</v>
      </c>
      <c r="D11" s="104">
        <v>8</v>
      </c>
      <c r="E11" s="40"/>
      <c r="F11" s="101">
        <v>664</v>
      </c>
      <c r="G11" s="246">
        <f t="shared" si="0"/>
        <v>672</v>
      </c>
      <c r="H11" s="101">
        <f t="shared" ref="H11:H13" si="1">C11+D11+F11</f>
        <v>672</v>
      </c>
      <c r="I11" s="355" t="s">
        <v>180</v>
      </c>
    </row>
    <row r="12" spans="1:19" s="5" customFormat="1" ht="24.9" customHeight="1">
      <c r="B12" s="21" t="s">
        <v>3</v>
      </c>
      <c r="C12" s="106">
        <v>0</v>
      </c>
      <c r="D12" s="102">
        <v>3380</v>
      </c>
      <c r="E12" s="40"/>
      <c r="F12" s="64">
        <v>0</v>
      </c>
      <c r="G12" s="101">
        <f t="shared" si="0"/>
        <v>3380</v>
      </c>
      <c r="H12" s="101">
        <f t="shared" si="1"/>
        <v>3380</v>
      </c>
      <c r="I12" s="354" t="s">
        <v>181</v>
      </c>
    </row>
    <row r="13" spans="1:19" s="5" customFormat="1" ht="24.9" customHeight="1">
      <c r="B13" s="21" t="s">
        <v>4</v>
      </c>
      <c r="C13" s="106">
        <v>0</v>
      </c>
      <c r="D13" s="104">
        <v>0</v>
      </c>
      <c r="E13" s="40"/>
      <c r="F13" s="101">
        <v>1821</v>
      </c>
      <c r="G13" s="101">
        <f t="shared" si="0"/>
        <v>1821</v>
      </c>
      <c r="H13" s="101">
        <f t="shared" si="1"/>
        <v>1821</v>
      </c>
      <c r="I13" s="354" t="s">
        <v>182</v>
      </c>
    </row>
    <row r="14" spans="1:19" s="5" customFormat="1" ht="24.9" customHeight="1">
      <c r="B14" s="21" t="s">
        <v>5</v>
      </c>
      <c r="C14" s="106">
        <v>0</v>
      </c>
      <c r="D14" s="104">
        <v>0</v>
      </c>
      <c r="E14" s="40"/>
      <c r="F14" s="101">
        <v>237</v>
      </c>
      <c r="G14" s="246">
        <f t="shared" si="0"/>
        <v>237</v>
      </c>
      <c r="H14" s="101">
        <f t="shared" ref="H14:H21" si="2">D14+F14</f>
        <v>237</v>
      </c>
      <c r="I14" s="355" t="s">
        <v>183</v>
      </c>
    </row>
    <row r="15" spans="1:19" s="5" customFormat="1" ht="24.9" customHeight="1">
      <c r="B15" s="21" t="s">
        <v>6</v>
      </c>
      <c r="C15" s="106">
        <v>0</v>
      </c>
      <c r="D15" s="106">
        <v>10462</v>
      </c>
      <c r="E15" s="40"/>
      <c r="F15" s="101">
        <v>100</v>
      </c>
      <c r="G15" s="101">
        <f t="shared" si="0"/>
        <v>10562</v>
      </c>
      <c r="H15" s="101">
        <f t="shared" si="2"/>
        <v>10562</v>
      </c>
      <c r="I15" s="354" t="s">
        <v>184</v>
      </c>
    </row>
    <row r="16" spans="1:19" s="5" customFormat="1" ht="24.9" customHeight="1">
      <c r="B16" s="26" t="s">
        <v>7</v>
      </c>
      <c r="C16" s="106">
        <v>0</v>
      </c>
      <c r="D16" s="104">
        <v>0</v>
      </c>
      <c r="E16" s="40"/>
      <c r="F16" s="101">
        <v>140</v>
      </c>
      <c r="G16" s="246">
        <f t="shared" si="0"/>
        <v>140</v>
      </c>
      <c r="H16" s="101">
        <f t="shared" si="2"/>
        <v>140</v>
      </c>
      <c r="I16" s="355" t="s">
        <v>185</v>
      </c>
      <c r="J16" s="5" t="s">
        <v>59</v>
      </c>
    </row>
    <row r="17" spans="2:11" s="5" customFormat="1" ht="24.9" customHeight="1">
      <c r="B17" s="21" t="s">
        <v>8</v>
      </c>
      <c r="C17" s="106">
        <v>0</v>
      </c>
      <c r="D17" s="104">
        <v>0</v>
      </c>
      <c r="E17" s="40"/>
      <c r="F17" s="101">
        <v>658</v>
      </c>
      <c r="G17" s="246">
        <f t="shared" si="0"/>
        <v>658</v>
      </c>
      <c r="H17" s="101">
        <f t="shared" si="2"/>
        <v>658</v>
      </c>
      <c r="I17" s="355" t="s">
        <v>186</v>
      </c>
    </row>
    <row r="18" spans="2:11" s="5" customFormat="1" ht="24.9" customHeight="1">
      <c r="B18" s="21" t="s">
        <v>9</v>
      </c>
      <c r="C18" s="106">
        <v>0</v>
      </c>
      <c r="D18" s="104">
        <v>0</v>
      </c>
      <c r="E18" s="40"/>
      <c r="F18" s="101">
        <v>820</v>
      </c>
      <c r="G18" s="246">
        <f t="shared" si="0"/>
        <v>820</v>
      </c>
      <c r="H18" s="101">
        <f t="shared" si="2"/>
        <v>820</v>
      </c>
      <c r="I18" s="354" t="s">
        <v>187</v>
      </c>
    </row>
    <row r="19" spans="2:11" s="5" customFormat="1" ht="24.9" customHeight="1">
      <c r="B19" s="21" t="s">
        <v>10</v>
      </c>
      <c r="C19" s="106">
        <v>0</v>
      </c>
      <c r="D19" s="104">
        <v>0</v>
      </c>
      <c r="E19" s="40"/>
      <c r="F19" s="64">
        <v>0</v>
      </c>
      <c r="G19" s="246">
        <f t="shared" si="0"/>
        <v>0</v>
      </c>
      <c r="H19" s="119">
        <f t="shared" si="2"/>
        <v>0</v>
      </c>
      <c r="I19" s="355" t="s">
        <v>188</v>
      </c>
    </row>
    <row r="20" spans="2:11" s="5" customFormat="1" ht="24.9" customHeight="1">
      <c r="B20" s="21" t="s">
        <v>11</v>
      </c>
      <c r="C20" s="106">
        <v>0</v>
      </c>
      <c r="D20" s="104">
        <v>0</v>
      </c>
      <c r="E20" s="40"/>
      <c r="F20" s="64">
        <v>0</v>
      </c>
      <c r="G20" s="246">
        <f t="shared" si="0"/>
        <v>0</v>
      </c>
      <c r="H20" s="119">
        <f t="shared" si="2"/>
        <v>0</v>
      </c>
      <c r="I20" s="355" t="s">
        <v>189</v>
      </c>
    </row>
    <row r="21" spans="2:11" s="5" customFormat="1" ht="24.9" customHeight="1">
      <c r="B21" s="21" t="s">
        <v>12</v>
      </c>
      <c r="C21" s="106">
        <v>0</v>
      </c>
      <c r="D21" s="104">
        <v>0</v>
      </c>
      <c r="E21" s="40"/>
      <c r="F21" s="101">
        <v>250</v>
      </c>
      <c r="G21" s="246">
        <f t="shared" si="0"/>
        <v>250</v>
      </c>
      <c r="H21" s="101">
        <f t="shared" si="2"/>
        <v>250</v>
      </c>
      <c r="I21" s="356" t="s">
        <v>190</v>
      </c>
      <c r="K21" s="101"/>
    </row>
    <row r="22" spans="2:11" s="5" customFormat="1" ht="24.9" customHeight="1">
      <c r="B22" s="56" t="s">
        <v>13</v>
      </c>
      <c r="C22" s="126">
        <v>0</v>
      </c>
      <c r="D22" s="105">
        <v>0</v>
      </c>
      <c r="E22" s="91"/>
      <c r="F22" s="178" t="s">
        <v>69</v>
      </c>
      <c r="G22" s="245">
        <v>0</v>
      </c>
      <c r="H22" s="126">
        <v>0</v>
      </c>
      <c r="I22" s="357" t="s">
        <v>191</v>
      </c>
    </row>
    <row r="23" spans="2:11" s="5" customFormat="1" ht="24.9" customHeight="1" thickBot="1">
      <c r="B23" s="127" t="s">
        <v>28</v>
      </c>
      <c r="C23" s="130">
        <f>SUM(C8:C22)</f>
        <v>136244</v>
      </c>
      <c r="D23" s="128">
        <f>SUM(D8:D22)</f>
        <v>15810</v>
      </c>
      <c r="E23" s="129"/>
      <c r="F23" s="128">
        <f>SUM(F8:F22)</f>
        <v>5444</v>
      </c>
      <c r="G23" s="244">
        <f>SUM(G8:G22)</f>
        <v>21254</v>
      </c>
      <c r="H23" s="103">
        <f>SUM(H8:H22)</f>
        <v>157498</v>
      </c>
      <c r="I23" s="358" t="s">
        <v>192</v>
      </c>
    </row>
    <row r="24" spans="2:11" s="5" customFormat="1" ht="23.25" customHeight="1" thickTop="1" thickBot="1">
      <c r="B24" s="58" t="s">
        <v>29</v>
      </c>
      <c r="C24" s="107"/>
      <c r="D24" s="59"/>
      <c r="E24" s="59"/>
      <c r="F24" s="403"/>
      <c r="G24" s="60"/>
      <c r="H24" s="456" t="s">
        <v>193</v>
      </c>
      <c r="I24" s="456"/>
    </row>
    <row r="25" spans="2:11" s="5" customFormat="1" ht="24.9" customHeight="1" thickTop="1">
      <c r="B25" s="21" t="s">
        <v>18</v>
      </c>
      <c r="C25" s="101">
        <v>1040908</v>
      </c>
      <c r="D25" s="40" t="s">
        <v>69</v>
      </c>
      <c r="E25" s="33"/>
      <c r="F25" s="101">
        <v>8068</v>
      </c>
      <c r="G25" s="120">
        <f>F25</f>
        <v>8068</v>
      </c>
      <c r="H25" s="102">
        <f>C25+G25</f>
        <v>1048976</v>
      </c>
      <c r="I25" s="356" t="s">
        <v>194</v>
      </c>
    </row>
    <row r="26" spans="2:11" s="5" customFormat="1" ht="24.9" customHeight="1">
      <c r="B26" s="21" t="s">
        <v>34</v>
      </c>
      <c r="C26" s="106">
        <v>570496</v>
      </c>
      <c r="D26" s="154" t="s">
        <v>69</v>
      </c>
      <c r="E26" s="40"/>
      <c r="F26" s="101">
        <v>17885</v>
      </c>
      <c r="G26" s="120">
        <f t="shared" ref="G26:G27" si="3">F26</f>
        <v>17885</v>
      </c>
      <c r="H26" s="102">
        <f t="shared" ref="H26:H27" si="4">C26+G26</f>
        <v>588381</v>
      </c>
      <c r="I26" s="355" t="s">
        <v>195</v>
      </c>
    </row>
    <row r="27" spans="2:11" s="5" customFormat="1" ht="24.9" customHeight="1">
      <c r="B27" s="21" t="s">
        <v>17</v>
      </c>
      <c r="C27" s="106">
        <v>543032</v>
      </c>
      <c r="D27" s="154" t="s">
        <v>69</v>
      </c>
      <c r="E27" s="40"/>
      <c r="F27" s="101">
        <v>8536</v>
      </c>
      <c r="G27" s="120">
        <f t="shared" si="3"/>
        <v>8536</v>
      </c>
      <c r="H27" s="102">
        <f t="shared" si="4"/>
        <v>551568</v>
      </c>
      <c r="I27" s="356" t="s">
        <v>196</v>
      </c>
    </row>
    <row r="28" spans="2:11" s="5" customFormat="1" ht="24.9" customHeight="1" thickBot="1">
      <c r="B28" s="127" t="s">
        <v>28</v>
      </c>
      <c r="C28" s="128">
        <f>SUM(C25:C27)</f>
        <v>2154436</v>
      </c>
      <c r="D28" s="131" t="s">
        <v>69</v>
      </c>
      <c r="E28" s="131"/>
      <c r="F28" s="130">
        <f>SUM(F25:F27)</f>
        <v>34489</v>
      </c>
      <c r="G28" s="130">
        <f>SUM(G25:G27)</f>
        <v>34489</v>
      </c>
      <c r="H28" s="128">
        <f>SUM(H25:H27)</f>
        <v>2188925</v>
      </c>
      <c r="I28" s="358" t="s">
        <v>192</v>
      </c>
    </row>
    <row r="29" spans="2:11" s="5" customFormat="1" ht="24.9" customHeight="1" thickTop="1" thickBot="1">
      <c r="B29" s="75" t="s">
        <v>27</v>
      </c>
      <c r="C29" s="108">
        <f>C28+C23</f>
        <v>2290680</v>
      </c>
      <c r="D29" s="107">
        <f>D23</f>
        <v>15810</v>
      </c>
      <c r="E29" s="60"/>
      <c r="F29" s="121">
        <f>F23+F28</f>
        <v>39933</v>
      </c>
      <c r="G29" s="121">
        <f>G23+G28</f>
        <v>55743</v>
      </c>
      <c r="H29" s="121">
        <f>H23+H28</f>
        <v>2346423</v>
      </c>
      <c r="I29" s="360" t="s">
        <v>197</v>
      </c>
    </row>
    <row r="30" spans="2:11" s="5" customFormat="1" ht="27.6" customHeight="1" thickTop="1">
      <c r="B30" s="504" t="s">
        <v>44</v>
      </c>
      <c r="C30" s="504"/>
      <c r="D30" s="504"/>
      <c r="E30" s="6"/>
      <c r="F30" s="6"/>
      <c r="H30" s="505" t="s">
        <v>199</v>
      </c>
      <c r="I30" s="505"/>
    </row>
    <row r="31" spans="2:11" s="5" customFormat="1" ht="27.75" customHeight="1">
      <c r="B31" s="493" t="s">
        <v>120</v>
      </c>
      <c r="C31" s="493"/>
      <c r="D31" s="493"/>
      <c r="E31" s="96"/>
      <c r="F31" s="455" t="s">
        <v>203</v>
      </c>
      <c r="G31" s="455"/>
      <c r="H31" s="455"/>
      <c r="I31" s="455"/>
    </row>
    <row r="32" spans="2:11" s="5" customFormat="1" ht="44.25" customHeight="1">
      <c r="B32" s="493" t="s">
        <v>307</v>
      </c>
      <c r="C32" s="493"/>
      <c r="D32" s="493"/>
      <c r="E32" s="334"/>
      <c r="F32" s="455" t="s">
        <v>309</v>
      </c>
      <c r="G32" s="455"/>
      <c r="H32" s="455"/>
      <c r="I32" s="455"/>
    </row>
    <row r="33" spans="1:9" s="5" customFormat="1" ht="40.5" customHeight="1">
      <c r="B33" s="493" t="s">
        <v>308</v>
      </c>
      <c r="C33" s="493"/>
      <c r="D33" s="493"/>
      <c r="E33" s="334"/>
      <c r="F33" s="455" t="s">
        <v>310</v>
      </c>
      <c r="G33" s="455"/>
      <c r="H33" s="455"/>
      <c r="I33" s="455"/>
    </row>
    <row r="34" spans="1:9" s="5" customFormat="1" ht="28.5" customHeight="1">
      <c r="B34" s="491" t="s">
        <v>50</v>
      </c>
      <c r="C34" s="491"/>
      <c r="D34" s="491"/>
      <c r="E34" s="42"/>
      <c r="F34" s="455" t="s">
        <v>198</v>
      </c>
      <c r="G34" s="455"/>
      <c r="H34" s="455"/>
      <c r="I34" s="455"/>
    </row>
    <row r="35" spans="1:9" s="5" customFormat="1" ht="18" customHeight="1">
      <c r="B35" s="260"/>
      <c r="C35" s="260"/>
      <c r="D35" s="260"/>
      <c r="E35" s="42"/>
      <c r="F35" s="42"/>
      <c r="G35" s="42"/>
      <c r="H35" s="11"/>
    </row>
    <row r="36" spans="1:9" s="5" customFormat="1" ht="21" customHeight="1">
      <c r="B36" s="260"/>
      <c r="C36" s="260"/>
      <c r="D36" s="260"/>
      <c r="E36" s="42"/>
      <c r="F36" s="42"/>
      <c r="G36" s="42"/>
      <c r="H36" s="11"/>
    </row>
    <row r="37" spans="1:9" s="16" customFormat="1" ht="21.75" customHeight="1">
      <c r="A37" s="53"/>
      <c r="B37" s="480" t="s">
        <v>35</v>
      </c>
      <c r="C37" s="480"/>
      <c r="D37" s="480"/>
      <c r="E37" s="44">
        <v>18</v>
      </c>
      <c r="F37" s="44">
        <v>18</v>
      </c>
      <c r="G37" s="494" t="s">
        <v>200</v>
      </c>
      <c r="H37" s="494"/>
      <c r="I37" s="494"/>
    </row>
    <row r="50" spans="6:7">
      <c r="F50" s="18"/>
      <c r="G50" s="18"/>
    </row>
  </sheetData>
  <mergeCells count="23">
    <mergeCell ref="C4:C6"/>
    <mergeCell ref="I4:I7"/>
    <mergeCell ref="F31:I31"/>
    <mergeCell ref="D5:F5"/>
    <mergeCell ref="H24:I24"/>
    <mergeCell ref="G4:G6"/>
    <mergeCell ref="H4:H6"/>
    <mergeCell ref="G37:I37"/>
    <mergeCell ref="B1:I1"/>
    <mergeCell ref="B2:I2"/>
    <mergeCell ref="H3:I3"/>
    <mergeCell ref="B4:B7"/>
    <mergeCell ref="B37:D37"/>
    <mergeCell ref="B30:D30"/>
    <mergeCell ref="D4:F4"/>
    <mergeCell ref="B34:D34"/>
    <mergeCell ref="B32:D32"/>
    <mergeCell ref="B33:D33"/>
    <mergeCell ref="F34:I34"/>
    <mergeCell ref="H30:I30"/>
    <mergeCell ref="F33:I33"/>
    <mergeCell ref="F32:I32"/>
    <mergeCell ref="B31:D31"/>
  </mergeCells>
  <phoneticPr fontId="5" type="noConversion"/>
  <printOptions horizontalCentered="1"/>
  <pageMargins left="0.74803149606299202" right="0.74803149606299202" top="0.59" bottom="0.15748031496063" header="0" footer="0"/>
  <pageSetup paperSize="9" scale="82"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7030A0"/>
  </sheetPr>
  <dimension ref="A1:K22"/>
  <sheetViews>
    <sheetView rightToLeft="1" view="pageBreakPreview" zoomScaleSheetLayoutView="100" workbookViewId="0">
      <selection activeCell="C30" sqref="C30"/>
    </sheetView>
  </sheetViews>
  <sheetFormatPr defaultColWidth="9.109375" defaultRowHeight="13.2"/>
  <cols>
    <col min="1" max="5" width="17.77734375" style="53" customWidth="1"/>
    <col min="6" max="8" width="25" style="53" customWidth="1"/>
    <col min="9" max="9" width="9.109375" style="53"/>
    <col min="10" max="10" width="15" style="53" customWidth="1"/>
    <col min="11" max="16384" width="9.109375" style="53"/>
  </cols>
  <sheetData>
    <row r="1" spans="1:10" ht="30" customHeight="1">
      <c r="A1" s="497" t="s">
        <v>145</v>
      </c>
      <c r="B1" s="497"/>
      <c r="C1" s="497"/>
      <c r="D1" s="497"/>
      <c r="E1" s="497"/>
      <c r="F1" s="220"/>
      <c r="G1" s="220"/>
      <c r="H1" s="220"/>
    </row>
    <row r="2" spans="1:10" ht="46.8" customHeight="1">
      <c r="A2" s="502" t="s">
        <v>212</v>
      </c>
      <c r="B2" s="502"/>
      <c r="C2" s="502"/>
      <c r="D2" s="502"/>
      <c r="E2" s="502"/>
      <c r="F2" s="298"/>
      <c r="G2" s="298"/>
      <c r="H2" s="298"/>
    </row>
    <row r="3" spans="1:10" ht="30.6" customHeight="1" thickBot="1">
      <c r="A3" s="41" t="s">
        <v>74</v>
      </c>
      <c r="B3" s="88"/>
      <c r="C3" s="88"/>
      <c r="D3" s="88"/>
      <c r="E3" s="361" t="s">
        <v>207</v>
      </c>
      <c r="F3" s="220"/>
      <c r="G3" s="220"/>
      <c r="H3" s="220"/>
    </row>
    <row r="4" spans="1:10" ht="46.5" customHeight="1" thickTop="1">
      <c r="A4" s="311" t="s">
        <v>55</v>
      </c>
      <c r="B4" s="399" t="s">
        <v>56</v>
      </c>
      <c r="C4" s="297" t="s">
        <v>57</v>
      </c>
      <c r="D4" s="297" t="s">
        <v>58</v>
      </c>
      <c r="E4" s="297" t="s">
        <v>111</v>
      </c>
      <c r="F4" s="219"/>
      <c r="G4" s="219"/>
      <c r="H4" s="219"/>
      <c r="J4" s="495" t="s">
        <v>56</v>
      </c>
    </row>
    <row r="5" spans="1:10" ht="76.2" customHeight="1">
      <c r="A5" s="423" t="s">
        <v>208</v>
      </c>
      <c r="B5" s="363" t="s">
        <v>209</v>
      </c>
      <c r="C5" s="363" t="s">
        <v>210</v>
      </c>
      <c r="D5" s="363" t="s">
        <v>211</v>
      </c>
      <c r="E5" s="363" t="s">
        <v>213</v>
      </c>
      <c r="F5" s="219"/>
      <c r="G5" s="219"/>
      <c r="H5" s="219"/>
      <c r="J5" s="496"/>
    </row>
    <row r="6" spans="1:10" s="5" customFormat="1" ht="35.1" customHeight="1">
      <c r="A6" s="247">
        <v>2013</v>
      </c>
      <c r="B6" s="221">
        <v>5462011</v>
      </c>
      <c r="C6" s="221">
        <f t="shared" ref="C6:C15" si="0">B6/4</f>
        <v>1365502.75</v>
      </c>
      <c r="D6" s="221">
        <f t="shared" ref="D6:D15" si="1">C6/100</f>
        <v>13655.0275</v>
      </c>
      <c r="E6" s="89">
        <f t="shared" ref="E6:E15" si="2">D6/434128*100</f>
        <v>3.1453920272362068</v>
      </c>
      <c r="F6" s="230"/>
      <c r="G6" s="230"/>
      <c r="H6" s="230"/>
      <c r="J6" s="200">
        <v>5462011</v>
      </c>
    </row>
    <row r="7" spans="1:10" s="5" customFormat="1" ht="35.1" customHeight="1">
      <c r="A7" s="247">
        <v>2014</v>
      </c>
      <c r="B7" s="221">
        <v>5462011</v>
      </c>
      <c r="C7" s="221">
        <f t="shared" si="0"/>
        <v>1365502.75</v>
      </c>
      <c r="D7" s="221">
        <f t="shared" si="1"/>
        <v>13655.0275</v>
      </c>
      <c r="E7" s="89">
        <f t="shared" si="2"/>
        <v>3.1453920272362068</v>
      </c>
      <c r="F7" s="230"/>
      <c r="G7" s="230"/>
      <c r="H7" s="230"/>
      <c r="I7" s="5">
        <v>14563.3</v>
      </c>
      <c r="J7" s="200">
        <v>5462011</v>
      </c>
    </row>
    <row r="8" spans="1:10" s="5" customFormat="1" ht="35.1" customHeight="1">
      <c r="A8" s="247">
        <v>2015</v>
      </c>
      <c r="B8" s="221">
        <v>5408287</v>
      </c>
      <c r="C8" s="221">
        <f t="shared" si="0"/>
        <v>1352071.75</v>
      </c>
      <c r="D8" s="221">
        <f t="shared" si="1"/>
        <v>13520.717500000001</v>
      </c>
      <c r="E8" s="89">
        <f t="shared" si="2"/>
        <v>3.1144541471639702</v>
      </c>
      <c r="F8" s="230"/>
      <c r="G8" s="230"/>
      <c r="H8" s="230"/>
      <c r="I8" s="5">
        <v>6911.5</v>
      </c>
      <c r="J8" s="200">
        <v>5408287</v>
      </c>
    </row>
    <row r="9" spans="1:10" s="5" customFormat="1" ht="35.1" customHeight="1">
      <c r="A9" s="247">
        <v>2016</v>
      </c>
      <c r="B9" s="221">
        <v>5450112</v>
      </c>
      <c r="C9" s="221">
        <f t="shared" si="0"/>
        <v>1362528</v>
      </c>
      <c r="D9" s="221">
        <f t="shared" si="1"/>
        <v>13625.28</v>
      </c>
      <c r="E9" s="89">
        <f t="shared" si="2"/>
        <v>3.1385397855010502</v>
      </c>
      <c r="F9" s="230"/>
      <c r="G9" s="230"/>
      <c r="H9" s="230"/>
      <c r="I9" s="5">
        <v>5528.6</v>
      </c>
      <c r="J9" s="200">
        <v>5450112</v>
      </c>
    </row>
    <row r="10" spans="1:10" s="5" customFormat="1" ht="35.1" customHeight="1">
      <c r="A10" s="247">
        <v>2017</v>
      </c>
      <c r="B10" s="221">
        <v>5449942</v>
      </c>
      <c r="C10" s="221">
        <f t="shared" si="0"/>
        <v>1362485.5</v>
      </c>
      <c r="D10" s="221">
        <f t="shared" si="1"/>
        <v>13624.855</v>
      </c>
      <c r="E10" s="89">
        <f t="shared" si="2"/>
        <v>3.1384418881067333</v>
      </c>
      <c r="F10" s="230"/>
      <c r="G10" s="230"/>
      <c r="H10" s="230"/>
      <c r="I10" s="5">
        <v>11409.2</v>
      </c>
      <c r="J10" s="200">
        <v>5449942</v>
      </c>
    </row>
    <row r="11" spans="1:10" s="5" customFormat="1" ht="35.1" customHeight="1">
      <c r="A11" s="247">
        <v>2018</v>
      </c>
      <c r="B11" s="221">
        <v>5449290</v>
      </c>
      <c r="C11" s="221">
        <f t="shared" si="0"/>
        <v>1362322.5</v>
      </c>
      <c r="D11" s="221">
        <f t="shared" si="1"/>
        <v>13623.225</v>
      </c>
      <c r="E11" s="89">
        <f t="shared" si="2"/>
        <v>3.1380664228061774</v>
      </c>
      <c r="F11" s="230"/>
      <c r="G11" s="230"/>
      <c r="H11" s="230"/>
      <c r="I11" s="5">
        <v>6269.9</v>
      </c>
      <c r="J11" s="200">
        <v>5449290</v>
      </c>
    </row>
    <row r="12" spans="1:10" s="5" customFormat="1" ht="35.1" customHeight="1">
      <c r="A12" s="248">
        <v>2019</v>
      </c>
      <c r="B12" s="222">
        <v>2848448</v>
      </c>
      <c r="C12" s="221">
        <f t="shared" si="0"/>
        <v>712112</v>
      </c>
      <c r="D12" s="221">
        <f t="shared" si="1"/>
        <v>7121.12</v>
      </c>
      <c r="E12" s="89">
        <f t="shared" si="2"/>
        <v>1.6403272767478716</v>
      </c>
      <c r="F12" s="230"/>
      <c r="G12" s="230"/>
      <c r="H12" s="230"/>
      <c r="I12" s="5">
        <v>15590.099999999999</v>
      </c>
      <c r="J12" s="201">
        <v>2848448</v>
      </c>
    </row>
    <row r="13" spans="1:10" s="5" customFormat="1" ht="35.1" customHeight="1">
      <c r="A13" s="248">
        <v>2020</v>
      </c>
      <c r="B13" s="222">
        <v>2849446</v>
      </c>
      <c r="C13" s="221">
        <f t="shared" si="0"/>
        <v>712361.5</v>
      </c>
      <c r="D13" s="221">
        <f t="shared" si="1"/>
        <v>7123.6149999999998</v>
      </c>
      <c r="E13" s="89">
        <f t="shared" si="2"/>
        <v>1.6409019920392141</v>
      </c>
      <c r="F13" s="230"/>
      <c r="G13" s="230"/>
      <c r="H13" s="230"/>
      <c r="I13" s="5">
        <v>14560.3</v>
      </c>
      <c r="J13" s="201">
        <v>2849446</v>
      </c>
    </row>
    <row r="14" spans="1:10" s="5" customFormat="1" ht="35.1" customHeight="1" thickBot="1">
      <c r="A14" s="248">
        <v>2021</v>
      </c>
      <c r="B14" s="222">
        <v>2210085</v>
      </c>
      <c r="C14" s="222">
        <f t="shared" ref="C14" si="3">B14/4</f>
        <v>552521.25</v>
      </c>
      <c r="D14" s="222">
        <f t="shared" ref="D14" si="4">C14/100</f>
        <v>5525.2124999999996</v>
      </c>
      <c r="E14" s="208">
        <f t="shared" ref="E14" si="5">D14/434128*100</f>
        <v>1.2727150748166438</v>
      </c>
      <c r="F14" s="230"/>
      <c r="G14" s="230"/>
      <c r="H14" s="230"/>
      <c r="J14" s="147">
        <v>2210085</v>
      </c>
    </row>
    <row r="15" spans="1:10" s="5" customFormat="1" ht="35.1" customHeight="1" thickTop="1" thickBot="1">
      <c r="A15" s="249">
        <v>2022</v>
      </c>
      <c r="B15" s="147">
        <v>2346423</v>
      </c>
      <c r="C15" s="147">
        <f t="shared" si="0"/>
        <v>586605.75</v>
      </c>
      <c r="D15" s="147">
        <f t="shared" si="1"/>
        <v>5866.0574999999999</v>
      </c>
      <c r="E15" s="148">
        <f t="shared" si="2"/>
        <v>1.3512276333247337</v>
      </c>
      <c r="F15" s="230"/>
      <c r="G15" s="230"/>
      <c r="H15" s="230"/>
      <c r="J15" s="147">
        <v>2210085</v>
      </c>
    </row>
    <row r="16" spans="1:10" s="5" customFormat="1" ht="23.25" customHeight="1" thickTop="1">
      <c r="A16" s="202"/>
      <c r="B16" s="202"/>
      <c r="C16" s="202"/>
      <c r="D16" s="202"/>
      <c r="E16" s="202"/>
      <c r="F16" s="250"/>
      <c r="G16" s="250"/>
      <c r="H16" s="250"/>
    </row>
    <row r="17" spans="1:11" s="5" customFormat="1" ht="24" customHeight="1">
      <c r="A17" s="499" t="s">
        <v>300</v>
      </c>
      <c r="B17" s="499"/>
      <c r="C17" s="455" t="s">
        <v>313</v>
      </c>
      <c r="D17" s="455"/>
      <c r="E17" s="455"/>
      <c r="F17" s="96"/>
      <c r="G17" s="96"/>
      <c r="H17" s="96"/>
      <c r="I17" s="499" t="s">
        <v>104</v>
      </c>
      <c r="J17" s="499"/>
      <c r="K17" s="499"/>
    </row>
    <row r="18" spans="1:11" s="5" customFormat="1" ht="31.2" customHeight="1">
      <c r="A18" s="499" t="s">
        <v>311</v>
      </c>
      <c r="B18" s="499"/>
      <c r="C18" s="499"/>
      <c r="D18" s="488" t="s">
        <v>314</v>
      </c>
      <c r="E18" s="488"/>
      <c r="F18" s="96"/>
      <c r="G18" s="96"/>
      <c r="H18" s="96"/>
      <c r="I18" s="499" t="s">
        <v>105</v>
      </c>
      <c r="J18" s="499"/>
      <c r="K18" s="499"/>
    </row>
    <row r="19" spans="1:11" s="5" customFormat="1" ht="25.2" customHeight="1">
      <c r="A19" s="499" t="s">
        <v>312</v>
      </c>
      <c r="B19" s="499"/>
      <c r="C19" s="499"/>
      <c r="D19" s="488" t="s">
        <v>315</v>
      </c>
      <c r="E19" s="488"/>
      <c r="F19" s="96"/>
      <c r="G19" s="96"/>
      <c r="H19" s="96"/>
      <c r="I19" s="499" t="s">
        <v>106</v>
      </c>
      <c r="J19" s="499"/>
      <c r="K19" s="499"/>
    </row>
    <row r="20" spans="1:11" s="5" customFormat="1" ht="30.75" customHeight="1">
      <c r="A20" s="261"/>
      <c r="B20" s="261"/>
      <c r="C20" s="261"/>
      <c r="D20" s="96"/>
      <c r="E20" s="96"/>
      <c r="F20" s="96"/>
      <c r="G20" s="96"/>
      <c r="H20" s="96"/>
      <c r="I20" s="261"/>
      <c r="J20" s="261"/>
      <c r="K20" s="261"/>
    </row>
    <row r="21" spans="1:11" s="5" customFormat="1" ht="146.4" customHeight="1">
      <c r="A21" s="491"/>
      <c r="B21" s="491"/>
      <c r="C21" s="491"/>
      <c r="D21" s="491"/>
      <c r="E21" s="491"/>
      <c r="F21" s="218"/>
      <c r="G21" s="218"/>
      <c r="H21" s="218"/>
    </row>
    <row r="22" spans="1:11" ht="30" customHeight="1">
      <c r="A22" s="480" t="s">
        <v>35</v>
      </c>
      <c r="B22" s="480"/>
      <c r="C22" s="352">
        <v>19</v>
      </c>
      <c r="D22" s="512" t="s">
        <v>200</v>
      </c>
      <c r="E22" s="512"/>
      <c r="F22" s="231"/>
      <c r="G22" s="231"/>
      <c r="H22" s="231"/>
    </row>
  </sheetData>
  <mergeCells count="15">
    <mergeCell ref="C17:E17"/>
    <mergeCell ref="A22:B22"/>
    <mergeCell ref="D22:E22"/>
    <mergeCell ref="A1:E1"/>
    <mergeCell ref="J4:J5"/>
    <mergeCell ref="A21:E21"/>
    <mergeCell ref="I17:K17"/>
    <mergeCell ref="I18:K18"/>
    <mergeCell ref="I19:K19"/>
    <mergeCell ref="A18:C18"/>
    <mergeCell ref="A19:C19"/>
    <mergeCell ref="D18:E18"/>
    <mergeCell ref="D19:E19"/>
    <mergeCell ref="A2:E2"/>
    <mergeCell ref="A17:B17"/>
  </mergeCells>
  <printOptions horizontalCentered="1"/>
  <pageMargins left="0.74803149606299202" right="0.74803149606299202" top="0.59" bottom="0.55118110236220497" header="0" footer="0"/>
  <pageSetup paperSize="9" scale="9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7030A0"/>
  </sheetPr>
  <dimension ref="B1:U49"/>
  <sheetViews>
    <sheetView rightToLeft="1" view="pageBreakPreview" zoomScale="120" zoomScaleNormal="100" zoomScaleSheetLayoutView="120" workbookViewId="0">
      <selection activeCell="J36" sqref="J36"/>
    </sheetView>
  </sheetViews>
  <sheetFormatPr defaultColWidth="9.109375" defaultRowHeight="13.2"/>
  <cols>
    <col min="1" max="1" width="3.21875" style="53" customWidth="1"/>
    <col min="2" max="2" width="14.44140625" style="53" customWidth="1"/>
    <col min="3" max="3" width="14.109375" style="53" customWidth="1"/>
    <col min="4" max="4" width="14" style="53" customWidth="1"/>
    <col min="5" max="5" width="12.21875" style="53" customWidth="1"/>
    <col min="6" max="6" width="9" style="53" customWidth="1"/>
    <col min="7" max="7" width="12.33203125" style="53" customWidth="1"/>
    <col min="8" max="8" width="8.77734375" style="53" customWidth="1"/>
    <col min="9" max="9" width="13.6640625" style="53" customWidth="1"/>
    <col min="10" max="14" width="29" style="53" customWidth="1"/>
    <col min="15" max="15" width="9.109375" style="53"/>
    <col min="16" max="16" width="11.6640625" style="53" bestFit="1" customWidth="1"/>
    <col min="17" max="17" width="12.88671875" style="53" bestFit="1" customWidth="1"/>
    <col min="18" max="18" width="11.88671875" style="53" bestFit="1" customWidth="1"/>
    <col min="19" max="16384" width="9.109375" style="53"/>
  </cols>
  <sheetData>
    <row r="1" spans="2:17" ht="27" customHeight="1">
      <c r="B1" s="497" t="s">
        <v>138</v>
      </c>
      <c r="C1" s="497"/>
      <c r="D1" s="497"/>
      <c r="E1" s="497"/>
      <c r="F1" s="497"/>
      <c r="G1" s="497"/>
      <c r="H1" s="497"/>
      <c r="I1" s="497"/>
      <c r="J1" s="225"/>
      <c r="K1" s="225"/>
      <c r="L1" s="225"/>
      <c r="M1" s="225"/>
      <c r="N1" s="225"/>
    </row>
    <row r="2" spans="2:17" ht="23.4" customHeight="1">
      <c r="B2" s="502" t="s">
        <v>226</v>
      </c>
      <c r="C2" s="502"/>
      <c r="D2" s="502"/>
      <c r="E2" s="502"/>
      <c r="F2" s="502"/>
      <c r="G2" s="502"/>
      <c r="H2" s="502"/>
      <c r="I2" s="502"/>
      <c r="J2" s="298"/>
      <c r="K2" s="298"/>
      <c r="L2" s="298"/>
      <c r="M2" s="298"/>
      <c r="N2" s="298"/>
    </row>
    <row r="3" spans="2:17" ht="19.2" customHeight="1" thickBot="1">
      <c r="B3" s="50" t="s">
        <v>63</v>
      </c>
      <c r="C3" s="51"/>
      <c r="D3" s="51"/>
      <c r="E3" s="51"/>
      <c r="F3" s="51"/>
      <c r="G3" s="454" t="s">
        <v>223</v>
      </c>
      <c r="H3" s="454"/>
      <c r="I3" s="454"/>
      <c r="J3" s="252"/>
      <c r="K3" s="252"/>
      <c r="L3" s="252"/>
      <c r="M3" s="252"/>
      <c r="N3" s="252"/>
    </row>
    <row r="4" spans="2:17" ht="42.75" customHeight="1" thickTop="1">
      <c r="B4" s="466" t="s">
        <v>14</v>
      </c>
      <c r="C4" s="460" t="s">
        <v>150</v>
      </c>
      <c r="D4" s="466" t="s">
        <v>147</v>
      </c>
      <c r="E4" s="460" t="s">
        <v>320</v>
      </c>
      <c r="F4" s="460"/>
      <c r="G4" s="466" t="s">
        <v>148</v>
      </c>
      <c r="H4" s="466" t="s">
        <v>146</v>
      </c>
      <c r="I4" s="449" t="s">
        <v>176</v>
      </c>
      <c r="J4" s="252"/>
      <c r="K4" s="252"/>
      <c r="L4" s="252"/>
      <c r="M4" s="252"/>
      <c r="N4" s="252"/>
      <c r="O4" s="252"/>
    </row>
    <row r="5" spans="2:17" ht="58.2" customHeight="1">
      <c r="B5" s="467"/>
      <c r="C5" s="489"/>
      <c r="D5" s="467"/>
      <c r="E5" s="484" t="s">
        <v>322</v>
      </c>
      <c r="F5" s="484"/>
      <c r="G5" s="467"/>
      <c r="H5" s="467"/>
      <c r="I5" s="450"/>
      <c r="J5" s="252"/>
      <c r="K5" s="252"/>
      <c r="L5" s="252"/>
      <c r="M5" s="252"/>
      <c r="N5" s="252"/>
      <c r="O5" s="252"/>
    </row>
    <row r="6" spans="2:17" ht="21" customHeight="1">
      <c r="B6" s="467"/>
      <c r="C6" s="487" t="s">
        <v>224</v>
      </c>
      <c r="D6" s="487" t="s">
        <v>225</v>
      </c>
      <c r="E6" s="323" t="s">
        <v>321</v>
      </c>
      <c r="F6" s="323" t="s">
        <v>107</v>
      </c>
      <c r="G6" s="471" t="s">
        <v>227</v>
      </c>
      <c r="H6" s="471" t="s">
        <v>228</v>
      </c>
      <c r="I6" s="450"/>
      <c r="J6" s="253"/>
      <c r="K6" s="253"/>
      <c r="L6" s="253"/>
      <c r="M6" s="253"/>
      <c r="N6" s="253"/>
      <c r="O6" s="253"/>
    </row>
    <row r="7" spans="2:17" ht="31.2" customHeight="1">
      <c r="B7" s="468"/>
      <c r="C7" s="487"/>
      <c r="D7" s="487"/>
      <c r="E7" s="416" t="s">
        <v>323</v>
      </c>
      <c r="F7" s="390" t="s">
        <v>221</v>
      </c>
      <c r="G7" s="487"/>
      <c r="H7" s="487"/>
      <c r="I7" s="450"/>
      <c r="J7" s="253"/>
      <c r="K7" s="253"/>
      <c r="L7" s="253"/>
      <c r="M7" s="253"/>
      <c r="N7" s="253"/>
      <c r="O7" s="253"/>
    </row>
    <row r="8" spans="2:17" s="54" customFormat="1" ht="23.1" customHeight="1">
      <c r="B8" s="28" t="s">
        <v>15</v>
      </c>
      <c r="C8" s="78">
        <v>6242400</v>
      </c>
      <c r="D8" s="78">
        <v>5413840</v>
      </c>
      <c r="E8" s="78">
        <f t="shared" ref="E8:E23" si="0">SUM(C8:D8)</f>
        <v>11656240</v>
      </c>
      <c r="F8" s="78">
        <f>E8/136888479.5*100</f>
        <v>8.5151358555341403</v>
      </c>
      <c r="G8" s="78">
        <v>148696</v>
      </c>
      <c r="H8" s="78">
        <f>G8/2789246.9*100</f>
        <v>5.3310447346916483</v>
      </c>
      <c r="I8" s="364" t="s">
        <v>177</v>
      </c>
      <c r="J8" s="253"/>
      <c r="K8" s="253"/>
      <c r="L8" s="81"/>
      <c r="M8" s="81"/>
      <c r="N8" s="81"/>
      <c r="O8" s="81"/>
      <c r="P8" s="41"/>
      <c r="Q8" s="41"/>
    </row>
    <row r="9" spans="2:17" s="54" customFormat="1" ht="23.1" customHeight="1">
      <c r="B9" s="28" t="s">
        <v>1</v>
      </c>
      <c r="C9" s="78">
        <v>78205.601999999999</v>
      </c>
      <c r="D9" s="78">
        <v>1503900</v>
      </c>
      <c r="E9" s="78">
        <f t="shared" si="0"/>
        <v>1582105.602</v>
      </c>
      <c r="F9" s="78">
        <f t="shared" ref="F9:F22" si="1">E9/136888479.5*100</f>
        <v>1.1557624189988902</v>
      </c>
      <c r="G9" s="78">
        <v>0</v>
      </c>
      <c r="H9" s="78">
        <f t="shared" ref="H9:H22" si="2">G9/2789246.9*100</f>
        <v>0</v>
      </c>
      <c r="I9" s="365" t="s">
        <v>178</v>
      </c>
      <c r="J9" s="253"/>
      <c r="K9" s="253"/>
      <c r="L9" s="81"/>
      <c r="M9" s="81"/>
      <c r="N9" s="81"/>
      <c r="O9" s="81"/>
    </row>
    <row r="10" spans="2:17" s="54" customFormat="1" ht="23.1" customHeight="1">
      <c r="B10" s="28" t="s">
        <v>2</v>
      </c>
      <c r="C10" s="78">
        <v>1544820</v>
      </c>
      <c r="D10" s="78">
        <v>3713860</v>
      </c>
      <c r="E10" s="78">
        <f t="shared" si="0"/>
        <v>5258680</v>
      </c>
      <c r="F10" s="78">
        <f t="shared" si="1"/>
        <v>3.8415796706982928</v>
      </c>
      <c r="G10" s="78">
        <v>43071.199000000001</v>
      </c>
      <c r="H10" s="78">
        <f t="shared" si="2"/>
        <v>1.544187393378478</v>
      </c>
      <c r="I10" s="365" t="s">
        <v>179</v>
      </c>
      <c r="J10" s="291"/>
      <c r="K10" s="81"/>
      <c r="L10" s="81"/>
      <c r="M10" s="81"/>
      <c r="N10" s="81"/>
      <c r="O10" s="81"/>
    </row>
    <row r="11" spans="2:17" s="54" customFormat="1" ht="23.1" customHeight="1">
      <c r="B11" s="28" t="s">
        <v>24</v>
      </c>
      <c r="C11" s="78">
        <v>10539400</v>
      </c>
      <c r="D11" s="78">
        <v>42948400</v>
      </c>
      <c r="E11" s="78">
        <f t="shared" si="0"/>
        <v>53487800</v>
      </c>
      <c r="F11" s="78">
        <f t="shared" si="1"/>
        <v>39.073996727387126</v>
      </c>
      <c r="G11" s="78">
        <v>7637</v>
      </c>
      <c r="H11" s="78">
        <f t="shared" si="2"/>
        <v>0.27380150534540343</v>
      </c>
      <c r="I11" s="365" t="s">
        <v>180</v>
      </c>
      <c r="J11" s="81"/>
      <c r="K11" s="81"/>
      <c r="L11" s="81"/>
      <c r="M11" s="81"/>
      <c r="N11" s="81"/>
      <c r="O11" s="81"/>
    </row>
    <row r="12" spans="2:17" s="54" customFormat="1" ht="23.1" customHeight="1">
      <c r="B12" s="29" t="s">
        <v>3</v>
      </c>
      <c r="C12" s="78">
        <v>38026</v>
      </c>
      <c r="D12" s="65">
        <v>620208</v>
      </c>
      <c r="E12" s="65">
        <f t="shared" si="0"/>
        <v>658234</v>
      </c>
      <c r="F12" s="78">
        <f t="shared" si="1"/>
        <v>0.48085419781436028</v>
      </c>
      <c r="G12" s="65">
        <v>0</v>
      </c>
      <c r="H12" s="78">
        <f t="shared" si="2"/>
        <v>0</v>
      </c>
      <c r="I12" s="365" t="s">
        <v>181</v>
      </c>
      <c r="J12" s="81"/>
      <c r="K12" s="81"/>
      <c r="L12" s="81"/>
      <c r="M12" s="81"/>
      <c r="N12" s="81"/>
      <c r="O12" s="81"/>
    </row>
    <row r="13" spans="2:17" s="54" customFormat="1" ht="23.1" customHeight="1">
      <c r="B13" s="29" t="s">
        <v>4</v>
      </c>
      <c r="C13" s="95">
        <v>45195.199000000001</v>
      </c>
      <c r="D13" s="65">
        <v>384952</v>
      </c>
      <c r="E13" s="65">
        <f t="shared" si="0"/>
        <v>430147.19900000002</v>
      </c>
      <c r="F13" s="78">
        <f t="shared" si="1"/>
        <v>0.31423184812276334</v>
      </c>
      <c r="G13" s="65">
        <v>661.29602</v>
      </c>
      <c r="H13" s="78">
        <f t="shared" si="2"/>
        <v>2.3708765975504E-2</v>
      </c>
      <c r="I13" s="365" t="s">
        <v>182</v>
      </c>
      <c r="J13" s="81"/>
      <c r="K13" s="81"/>
      <c r="L13" s="81"/>
      <c r="M13" s="81"/>
      <c r="N13" s="81"/>
      <c r="O13" s="81"/>
    </row>
    <row r="14" spans="2:17" s="54" customFormat="1" ht="23.1" customHeight="1">
      <c r="B14" s="29" t="s">
        <v>5</v>
      </c>
      <c r="C14" s="78">
        <v>932344</v>
      </c>
      <c r="D14" s="78">
        <v>550208</v>
      </c>
      <c r="E14" s="78">
        <f t="shared" si="0"/>
        <v>1482552</v>
      </c>
      <c r="F14" s="78">
        <f t="shared" si="1"/>
        <v>1.083036355882673</v>
      </c>
      <c r="G14" s="78">
        <v>12449</v>
      </c>
      <c r="H14" s="78">
        <f t="shared" si="2"/>
        <v>0.44632119157325228</v>
      </c>
      <c r="I14" s="365" t="s">
        <v>214</v>
      </c>
      <c r="J14" s="81"/>
      <c r="K14" s="81"/>
      <c r="L14" s="81"/>
      <c r="M14" s="81"/>
      <c r="N14" s="81"/>
      <c r="O14" s="81"/>
    </row>
    <row r="15" spans="2:17" s="54" customFormat="1" ht="23.1" customHeight="1">
      <c r="B15" s="29" t="s">
        <v>6</v>
      </c>
      <c r="C15" s="78">
        <v>1838700</v>
      </c>
      <c r="D15" s="78">
        <v>2538230</v>
      </c>
      <c r="E15" s="78">
        <f t="shared" si="0"/>
        <v>4376930</v>
      </c>
      <c r="F15" s="78">
        <f t="shared" si="1"/>
        <v>3.1974421923504526</v>
      </c>
      <c r="G15" s="78">
        <v>4935.3599000000004</v>
      </c>
      <c r="H15" s="78">
        <f t="shared" si="2"/>
        <v>0.17694238183073718</v>
      </c>
      <c r="I15" s="365" t="s">
        <v>184</v>
      </c>
      <c r="J15" s="81"/>
      <c r="K15" s="81"/>
      <c r="L15" s="81"/>
      <c r="M15" s="81"/>
      <c r="N15" s="81"/>
      <c r="O15" s="81"/>
    </row>
    <row r="16" spans="2:17" s="54" customFormat="1" ht="23.1" customHeight="1">
      <c r="B16" s="29" t="s">
        <v>7</v>
      </c>
      <c r="C16" s="78">
        <v>3666080</v>
      </c>
      <c r="D16" s="78">
        <v>3471050</v>
      </c>
      <c r="E16" s="78">
        <f t="shared" si="0"/>
        <v>7137130</v>
      </c>
      <c r="F16" s="78">
        <f t="shared" si="1"/>
        <v>5.2138280928162404</v>
      </c>
      <c r="G16" s="78">
        <v>992572</v>
      </c>
      <c r="H16" s="78">
        <f t="shared" si="2"/>
        <v>35.585662925716619</v>
      </c>
      <c r="I16" s="365" t="s">
        <v>215</v>
      </c>
      <c r="J16" s="81"/>
      <c r="K16" s="81"/>
      <c r="L16" s="81"/>
      <c r="M16" s="81"/>
      <c r="N16" s="81"/>
      <c r="O16" s="81"/>
    </row>
    <row r="17" spans="2:21" s="54" customFormat="1" ht="23.1" customHeight="1">
      <c r="B17" s="29" t="s">
        <v>8</v>
      </c>
      <c r="C17" s="65">
        <v>1264460</v>
      </c>
      <c r="D17" s="95">
        <v>9768200</v>
      </c>
      <c r="E17" s="95">
        <f t="shared" si="0"/>
        <v>11032660</v>
      </c>
      <c r="F17" s="78">
        <f t="shared" si="1"/>
        <v>8.0595971555078894</v>
      </c>
      <c r="G17" s="65">
        <v>66914.797000000006</v>
      </c>
      <c r="H17" s="78">
        <f t="shared" si="2"/>
        <v>2.3990273862095179</v>
      </c>
      <c r="I17" s="365" t="s">
        <v>186</v>
      </c>
      <c r="J17" s="81"/>
      <c r="K17" s="81"/>
      <c r="L17" s="81"/>
      <c r="M17" s="81"/>
      <c r="N17" s="81"/>
      <c r="O17" s="81"/>
    </row>
    <row r="18" spans="2:21" s="54" customFormat="1" ht="23.1" customHeight="1">
      <c r="B18" s="29" t="s">
        <v>9</v>
      </c>
      <c r="C18" s="65">
        <v>282104</v>
      </c>
      <c r="D18" s="65">
        <v>1404130</v>
      </c>
      <c r="E18" s="65">
        <f t="shared" si="0"/>
        <v>1686234</v>
      </c>
      <c r="F18" s="78">
        <f t="shared" si="1"/>
        <v>1.2318304697072773</v>
      </c>
      <c r="G18" s="65">
        <v>64802</v>
      </c>
      <c r="H18" s="78">
        <f t="shared" si="2"/>
        <v>2.3232794486569115</v>
      </c>
      <c r="I18" s="365" t="s">
        <v>216</v>
      </c>
      <c r="J18" s="81"/>
      <c r="K18" s="81"/>
      <c r="L18" s="81"/>
      <c r="M18" s="81"/>
      <c r="N18" s="81"/>
      <c r="O18" s="81"/>
    </row>
    <row r="19" spans="2:21" s="54" customFormat="1" ht="23.1" customHeight="1">
      <c r="B19" s="29" t="s">
        <v>10</v>
      </c>
      <c r="C19" s="65">
        <v>6795080</v>
      </c>
      <c r="D19" s="65">
        <v>13598500</v>
      </c>
      <c r="E19" s="65">
        <f t="shared" si="0"/>
        <v>20393580</v>
      </c>
      <c r="F19" s="78">
        <f t="shared" si="1"/>
        <v>14.897952022324858</v>
      </c>
      <c r="G19" s="65">
        <v>1252380</v>
      </c>
      <c r="H19" s="78">
        <f t="shared" si="2"/>
        <v>44.900291903165687</v>
      </c>
      <c r="I19" s="365" t="s">
        <v>188</v>
      </c>
      <c r="J19" s="81"/>
      <c r="K19" s="81"/>
      <c r="L19" s="81"/>
      <c r="M19" s="81"/>
      <c r="N19" s="81"/>
      <c r="O19" s="81"/>
    </row>
    <row r="20" spans="2:21" s="54" customFormat="1" ht="23.1" customHeight="1">
      <c r="B20" s="29" t="s">
        <v>11</v>
      </c>
      <c r="C20" s="65">
        <v>1266270</v>
      </c>
      <c r="D20" s="65">
        <v>2521980</v>
      </c>
      <c r="E20" s="65">
        <f t="shared" si="0"/>
        <v>3788250</v>
      </c>
      <c r="F20" s="78">
        <f t="shared" si="1"/>
        <v>2.7673986984419678</v>
      </c>
      <c r="G20" s="65">
        <v>104578</v>
      </c>
      <c r="H20" s="78">
        <f t="shared" si="2"/>
        <v>3.7493274618320811</v>
      </c>
      <c r="I20" s="365" t="s">
        <v>217</v>
      </c>
      <c r="J20" s="81"/>
      <c r="K20" s="81"/>
      <c r="L20" s="81"/>
      <c r="M20" s="81"/>
      <c r="N20" s="81"/>
      <c r="O20" s="81"/>
    </row>
    <row r="21" spans="2:21" s="54" customFormat="1" ht="23.1" customHeight="1" thickBot="1">
      <c r="B21" s="29" t="s">
        <v>12</v>
      </c>
      <c r="C21" s="65">
        <v>1839920</v>
      </c>
      <c r="D21" s="65">
        <v>3107480</v>
      </c>
      <c r="E21" s="65">
        <f t="shared" si="0"/>
        <v>4947400</v>
      </c>
      <c r="F21" s="78">
        <f t="shared" si="1"/>
        <v>3.614182886734453</v>
      </c>
      <c r="G21" s="65">
        <v>80490.797000000006</v>
      </c>
      <c r="H21" s="78">
        <f t="shared" si="2"/>
        <v>2.8857537495156849</v>
      </c>
      <c r="I21" s="365" t="s">
        <v>218</v>
      </c>
      <c r="J21" s="81"/>
      <c r="K21" s="81"/>
      <c r="L21" s="81"/>
      <c r="M21" s="81"/>
      <c r="N21" s="81"/>
      <c r="O21" s="81"/>
      <c r="R21" s="143"/>
    </row>
    <row r="22" spans="2:21" s="54" customFormat="1" ht="23.1" customHeight="1" thickTop="1">
      <c r="B22" s="29" t="s">
        <v>13</v>
      </c>
      <c r="C22" s="66">
        <v>4006280</v>
      </c>
      <c r="D22" s="174">
        <v>2400720</v>
      </c>
      <c r="E22" s="174">
        <f t="shared" si="0"/>
        <v>6407000</v>
      </c>
      <c r="F22" s="78">
        <f t="shared" si="1"/>
        <v>4.6804523093559531</v>
      </c>
      <c r="G22" s="66">
        <v>10059.491</v>
      </c>
      <c r="H22" s="78">
        <f t="shared" si="2"/>
        <v>0.36065258331917482</v>
      </c>
      <c r="I22" s="365" t="s">
        <v>191</v>
      </c>
      <c r="J22" s="81"/>
      <c r="K22" s="81"/>
      <c r="L22" s="81"/>
      <c r="M22" s="81"/>
      <c r="N22" s="81"/>
      <c r="O22" s="81"/>
    </row>
    <row r="23" spans="2:21" ht="20.399999999999999" customHeight="1" thickBot="1">
      <c r="B23" s="127" t="s">
        <v>28</v>
      </c>
      <c r="C23" s="140">
        <f>SUM(C8:C22)</f>
        <v>40379284.800999999</v>
      </c>
      <c r="D23" s="140">
        <f>SUM(D8:D22)</f>
        <v>93945658</v>
      </c>
      <c r="E23" s="140">
        <f t="shared" si="0"/>
        <v>134324942.801</v>
      </c>
      <c r="F23" s="140">
        <f>SUM(F8:F22)</f>
        <v>98.127280901677352</v>
      </c>
      <c r="G23" s="140">
        <f>SUM(G8:G22)</f>
        <v>2789246.9399199998</v>
      </c>
      <c r="H23" s="140">
        <f>SUM(H8:H22)</f>
        <v>100.00000143121071</v>
      </c>
      <c r="I23" s="366" t="s">
        <v>192</v>
      </c>
      <c r="J23" s="254"/>
      <c r="K23" s="254"/>
      <c r="L23" s="254"/>
      <c r="M23" s="254"/>
      <c r="N23" s="254"/>
      <c r="O23" s="254"/>
    </row>
    <row r="24" spans="2:21" ht="20.399999999999999" customHeight="1" thickTop="1" thickBot="1">
      <c r="B24" s="82" t="s">
        <v>29</v>
      </c>
      <c r="C24" s="107"/>
      <c r="D24" s="59"/>
      <c r="E24" s="59"/>
      <c r="F24" s="59"/>
      <c r="G24" s="82"/>
      <c r="H24" s="280"/>
      <c r="I24" s="359" t="s">
        <v>193</v>
      </c>
      <c r="J24" s="255"/>
      <c r="K24" s="255"/>
      <c r="L24" s="255"/>
      <c r="M24" s="255"/>
      <c r="N24" s="255"/>
      <c r="O24" s="255"/>
    </row>
    <row r="25" spans="2:21" ht="23.1" customHeight="1" thickTop="1">
      <c r="B25" s="29" t="s">
        <v>18</v>
      </c>
      <c r="C25" s="264">
        <v>0</v>
      </c>
      <c r="D25" s="287">
        <v>257140</v>
      </c>
      <c r="E25" s="40">
        <f>SUM(C25:D25)</f>
        <v>257140</v>
      </c>
      <c r="F25" s="287">
        <f>E25/136888479.5*100</f>
        <v>0.18784634100636644</v>
      </c>
      <c r="G25" s="146">
        <v>0</v>
      </c>
      <c r="H25" s="78">
        <f t="shared" ref="H25:H28" si="3">G25/2789246.9*100</f>
        <v>0</v>
      </c>
      <c r="I25" s="356" t="s">
        <v>194</v>
      </c>
      <c r="J25" s="145"/>
      <c r="K25" s="145"/>
      <c r="L25" s="145"/>
      <c r="M25" s="145"/>
      <c r="N25" s="145"/>
      <c r="O25" s="145"/>
      <c r="R25" s="29" t="s">
        <v>17</v>
      </c>
    </row>
    <row r="26" spans="2:21" ht="23.1" customHeight="1">
      <c r="B26" s="29" t="s">
        <v>34</v>
      </c>
      <c r="C26" s="287">
        <v>586.70001000000002</v>
      </c>
      <c r="D26" s="287">
        <v>1122780</v>
      </c>
      <c r="E26" s="40">
        <f>SUM(C26:D26)</f>
        <v>1123366.70001</v>
      </c>
      <c r="F26" s="287">
        <f t="shared" ref="F26:F27" si="4">E26/136888479.5*100</f>
        <v>0.82064371239509615</v>
      </c>
      <c r="G26" s="146">
        <v>0</v>
      </c>
      <c r="H26" s="78">
        <f t="shared" si="3"/>
        <v>0</v>
      </c>
      <c r="I26" s="355" t="s">
        <v>195</v>
      </c>
      <c r="J26" s="145"/>
      <c r="K26" s="145"/>
      <c r="L26" s="145"/>
      <c r="M26" s="145"/>
      <c r="N26" s="145"/>
      <c r="O26" s="145"/>
    </row>
    <row r="27" spans="2:21" ht="23.1" customHeight="1">
      <c r="B27" s="29" t="s">
        <v>17</v>
      </c>
      <c r="C27" s="264">
        <v>0</v>
      </c>
      <c r="D27" s="254">
        <v>1183030</v>
      </c>
      <c r="E27" s="34">
        <f>SUM(C27:D27)</f>
        <v>1183030</v>
      </c>
      <c r="F27" s="287">
        <f t="shared" si="4"/>
        <v>0.86422904565902492</v>
      </c>
      <c r="G27" s="145">
        <v>0</v>
      </c>
      <c r="H27" s="78">
        <f t="shared" si="3"/>
        <v>0</v>
      </c>
      <c r="I27" s="367" t="s">
        <v>196</v>
      </c>
      <c r="J27" s="145"/>
      <c r="K27" s="145"/>
      <c r="L27" s="145"/>
      <c r="M27" s="145"/>
      <c r="N27" s="145"/>
      <c r="O27" s="145"/>
    </row>
    <row r="28" spans="2:21" ht="16.8" customHeight="1" thickBot="1">
      <c r="B28" s="127" t="s">
        <v>28</v>
      </c>
      <c r="C28" s="140">
        <f>SUM(C25:C27)</f>
        <v>586.70001000000002</v>
      </c>
      <c r="D28" s="140">
        <f>SUM(D25:D27)</f>
        <v>2562950</v>
      </c>
      <c r="E28" s="140">
        <f>SUM(C28:D28)</f>
        <v>2563536.7000099998</v>
      </c>
      <c r="F28" s="140">
        <f>SUM(F25:F27)</f>
        <v>1.8727190990604874</v>
      </c>
      <c r="G28" s="142">
        <v>0</v>
      </c>
      <c r="H28" s="142">
        <f t="shared" si="3"/>
        <v>0</v>
      </c>
      <c r="I28" s="368" t="s">
        <v>192</v>
      </c>
      <c r="J28" s="256"/>
      <c r="K28" s="256"/>
      <c r="L28" s="256"/>
      <c r="M28" s="256"/>
      <c r="N28" s="256"/>
      <c r="O28" s="256"/>
      <c r="Q28" s="14">
        <f>C30/435052*100</f>
        <v>23.20404888439198</v>
      </c>
      <c r="R28" s="14">
        <f>D30/435052*100</f>
        <v>55.458087768818444</v>
      </c>
      <c r="S28" s="14">
        <f t="shared" ref="S28" si="5">G30/435052*100</f>
        <v>1.6028238807774702</v>
      </c>
      <c r="T28" s="14">
        <f>Q28+R28</f>
        <v>78.662136653210425</v>
      </c>
      <c r="U28" s="53">
        <v>435052</v>
      </c>
    </row>
    <row r="29" spans="2:21" ht="29.4" customHeight="1" thickTop="1" thickBot="1">
      <c r="B29" s="75" t="s">
        <v>94</v>
      </c>
      <c r="C29" s="143">
        <f>C28+C23</f>
        <v>40379871.501010001</v>
      </c>
      <c r="D29" s="141">
        <f>D23+D28</f>
        <v>96508608</v>
      </c>
      <c r="E29" s="141">
        <f>SUM(C29:D29)</f>
        <v>136888479.50101</v>
      </c>
      <c r="F29" s="141">
        <f>F23+F28</f>
        <v>100.00000000073784</v>
      </c>
      <c r="G29" s="144">
        <f>G23+G28</f>
        <v>2789246.9399199998</v>
      </c>
      <c r="H29" s="141">
        <f>H28+H23</f>
        <v>100.00000143121071</v>
      </c>
      <c r="I29" s="369" t="s">
        <v>219</v>
      </c>
      <c r="J29" s="257"/>
      <c r="K29" s="257"/>
      <c r="L29" s="257"/>
      <c r="M29" s="257"/>
      <c r="N29" s="257"/>
      <c r="O29" s="257"/>
      <c r="Q29" s="163">
        <f>C29</f>
        <v>40379871.501010001</v>
      </c>
      <c r="R29" s="164">
        <f>D29</f>
        <v>96508608</v>
      </c>
      <c r="S29" s="165">
        <f>G29</f>
        <v>2789246.9399199998</v>
      </c>
    </row>
    <row r="30" spans="2:21" ht="30" customHeight="1" thickTop="1" thickBot="1">
      <c r="B30" s="75" t="s">
        <v>113</v>
      </c>
      <c r="C30" s="143">
        <f>C29/400</f>
        <v>100949.678752525</v>
      </c>
      <c r="D30" s="143">
        <f t="shared" ref="D30:G30" si="6">D29/400</f>
        <v>241271.52</v>
      </c>
      <c r="E30" s="143">
        <f t="shared" si="6"/>
        <v>342221.19875252503</v>
      </c>
      <c r="F30" s="279"/>
      <c r="G30" s="143">
        <f t="shared" si="6"/>
        <v>6973.1173497999998</v>
      </c>
      <c r="H30" s="279"/>
      <c r="I30" s="369" t="s">
        <v>220</v>
      </c>
      <c r="J30" s="258"/>
      <c r="K30" s="258"/>
      <c r="L30" s="258"/>
      <c r="M30" s="258"/>
      <c r="N30" s="258"/>
      <c r="O30" s="258"/>
    </row>
    <row r="31" spans="2:21" ht="19.8" customHeight="1" thickTop="1" thickBot="1">
      <c r="B31" s="75" t="s">
        <v>107</v>
      </c>
      <c r="C31" s="143">
        <f>C30/435052*100</f>
        <v>23.20404888439198</v>
      </c>
      <c r="D31" s="143">
        <f>D30/435052*100</f>
        <v>55.458087768818444</v>
      </c>
      <c r="E31" s="143">
        <f>E30/435052*100</f>
        <v>78.662136653210425</v>
      </c>
      <c r="F31" s="279"/>
      <c r="G31" s="143">
        <f>G30/435052*100</f>
        <v>1.6028238807774702</v>
      </c>
      <c r="H31" s="279"/>
      <c r="I31" s="369" t="s">
        <v>221</v>
      </c>
      <c r="J31" s="258"/>
      <c r="K31" s="258"/>
      <c r="L31" s="258"/>
      <c r="M31" s="258"/>
      <c r="N31" s="258"/>
      <c r="O31" s="258"/>
    </row>
    <row r="32" spans="2:21" ht="54.6" customHeight="1" thickTop="1">
      <c r="B32" s="514" t="s">
        <v>151</v>
      </c>
      <c r="C32" s="514"/>
      <c r="D32" s="514"/>
      <c r="E32" s="514"/>
      <c r="F32" s="516" t="s">
        <v>316</v>
      </c>
      <c r="G32" s="517"/>
      <c r="H32" s="517"/>
      <c r="I32" s="517"/>
      <c r="J32" s="262"/>
      <c r="K32" s="262"/>
      <c r="L32" s="262"/>
      <c r="M32" s="262"/>
      <c r="N32" s="262"/>
      <c r="P32" s="14"/>
      <c r="Q32" s="14"/>
      <c r="R32" s="14"/>
    </row>
    <row r="33" spans="2:18" ht="15" customHeight="1">
      <c r="B33" s="513" t="s">
        <v>149</v>
      </c>
      <c r="C33" s="513"/>
      <c r="D33" s="513"/>
      <c r="E33" s="513"/>
      <c r="F33" s="518" t="s">
        <v>317</v>
      </c>
      <c r="G33" s="518"/>
      <c r="H33" s="518"/>
      <c r="I33" s="518"/>
      <c r="J33" s="226"/>
      <c r="K33" s="226"/>
      <c r="L33" s="226"/>
      <c r="M33" s="226"/>
      <c r="N33" s="226"/>
      <c r="P33" s="14"/>
      <c r="Q33" s="14"/>
      <c r="R33" s="14"/>
    </row>
    <row r="34" spans="2:18" ht="14.25" customHeight="1">
      <c r="B34" s="513" t="s">
        <v>319</v>
      </c>
      <c r="C34" s="513"/>
      <c r="D34" s="513"/>
      <c r="E34" s="513"/>
      <c r="F34" s="518" t="s">
        <v>318</v>
      </c>
      <c r="G34" s="518"/>
      <c r="H34" s="518"/>
      <c r="I34" s="518"/>
      <c r="J34" s="226"/>
      <c r="K34" s="226"/>
      <c r="L34" s="226"/>
      <c r="M34" s="226"/>
      <c r="N34" s="226"/>
      <c r="P34" s="14"/>
      <c r="Q34" s="14"/>
      <c r="R34" s="14"/>
    </row>
    <row r="35" spans="2:18" ht="17.399999999999999" customHeight="1">
      <c r="B35" s="513" t="s">
        <v>333</v>
      </c>
      <c r="C35" s="513"/>
      <c r="D35" s="513"/>
      <c r="E35" s="513"/>
      <c r="F35" s="518" t="s">
        <v>339</v>
      </c>
      <c r="G35" s="518"/>
      <c r="H35" s="518"/>
      <c r="I35" s="518"/>
      <c r="J35" s="262"/>
      <c r="K35" s="262"/>
      <c r="L35" s="262"/>
      <c r="M35" s="262"/>
      <c r="N35" s="262"/>
      <c r="P35" s="14"/>
      <c r="Q35" s="14"/>
      <c r="R35" s="14"/>
    </row>
    <row r="36" spans="2:18" ht="22.5" customHeight="1">
      <c r="B36" s="491" t="s">
        <v>50</v>
      </c>
      <c r="C36" s="491"/>
      <c r="D36" s="491"/>
      <c r="E36" s="515" t="s">
        <v>198</v>
      </c>
      <c r="F36" s="515"/>
      <c r="G36" s="515"/>
      <c r="H36" s="515"/>
      <c r="I36" s="515"/>
      <c r="J36" s="224"/>
      <c r="K36" s="224"/>
      <c r="L36" s="224"/>
      <c r="M36" s="224"/>
      <c r="N36" s="224"/>
    </row>
    <row r="37" spans="2:18" ht="5.25" customHeight="1">
      <c r="B37" s="263"/>
      <c r="C37" s="263"/>
      <c r="D37" s="263"/>
      <c r="E37" s="263"/>
      <c r="F37" s="263"/>
      <c r="G37" s="263"/>
      <c r="H37" s="296"/>
      <c r="I37" s="260"/>
      <c r="J37" s="260"/>
      <c r="K37" s="260"/>
      <c r="L37" s="260"/>
      <c r="M37" s="260"/>
      <c r="N37" s="260"/>
    </row>
    <row r="38" spans="2:18" ht="16.2" customHeight="1">
      <c r="B38" s="480" t="s">
        <v>35</v>
      </c>
      <c r="C38" s="480"/>
      <c r="D38" s="480"/>
      <c r="E38" s="352">
        <v>20</v>
      </c>
      <c r="F38" s="512" t="s">
        <v>200</v>
      </c>
      <c r="G38" s="512"/>
      <c r="H38" s="512"/>
      <c r="I38" s="512"/>
      <c r="J38" s="227"/>
      <c r="K38" s="227"/>
      <c r="L38" s="227"/>
      <c r="M38" s="227"/>
      <c r="N38" s="227"/>
    </row>
    <row r="39" spans="2:18" ht="13.8" thickBot="1"/>
    <row r="40" spans="2:18" ht="14.4" thickTop="1" thickBot="1">
      <c r="B40" s="281" t="s">
        <v>159</v>
      </c>
      <c r="C40" s="14">
        <v>23.20404888439198</v>
      </c>
      <c r="D40" s="14">
        <v>55.458087768818444</v>
      </c>
    </row>
    <row r="41" spans="2:18" ht="40.200000000000003" thickTop="1">
      <c r="B41" s="281" t="s">
        <v>160</v>
      </c>
      <c r="C41" s="53">
        <v>15.6</v>
      </c>
      <c r="D41" s="53">
        <v>54.2</v>
      </c>
    </row>
    <row r="42" spans="2:18" ht="18" customHeight="1">
      <c r="B42" s="291" t="s">
        <v>161</v>
      </c>
      <c r="C42" s="53">
        <v>1.6</v>
      </c>
    </row>
    <row r="43" spans="2:18">
      <c r="C43" s="53">
        <f>C40/C41</f>
        <v>1.4874390310507679</v>
      </c>
      <c r="D43" s="53">
        <f>D40/D41</f>
        <v>1.0232119514542148</v>
      </c>
    </row>
    <row r="44" spans="2:18">
      <c r="C44" s="53">
        <f>C43-1</f>
        <v>0.48743903105076791</v>
      </c>
      <c r="D44" s="53">
        <f>D43-1</f>
        <v>2.3211951454214841E-2</v>
      </c>
    </row>
    <row r="45" spans="2:18">
      <c r="C45" s="53">
        <f>C44*100</f>
        <v>48.743903105076789</v>
      </c>
      <c r="D45" s="53">
        <f>D44*100</f>
        <v>2.3211951454214841</v>
      </c>
    </row>
    <row r="46" spans="2:18" ht="13.8" thickBot="1">
      <c r="C46" s="53">
        <v>2022</v>
      </c>
      <c r="D46" s="53">
        <v>2016</v>
      </c>
      <c r="F46" s="14">
        <f>C40-C41</f>
        <v>7.6040488843919807</v>
      </c>
    </row>
    <row r="47" spans="2:18" ht="46.5" customHeight="1" thickTop="1" thickBot="1">
      <c r="B47" s="281" t="s">
        <v>160</v>
      </c>
      <c r="C47" s="163">
        <f>D31</f>
        <v>55.458087768818444</v>
      </c>
      <c r="D47" s="53">
        <v>54.2</v>
      </c>
    </row>
    <row r="48" spans="2:18" ht="13.8" thickTop="1">
      <c r="B48" s="281" t="s">
        <v>159</v>
      </c>
      <c r="C48" s="163">
        <f>C31</f>
        <v>23.20404888439198</v>
      </c>
      <c r="D48" s="53">
        <v>15.6</v>
      </c>
    </row>
    <row r="49" spans="2:4">
      <c r="B49" s="291" t="s">
        <v>161</v>
      </c>
      <c r="C49" s="163">
        <f>G31</f>
        <v>1.6028238807774702</v>
      </c>
      <c r="D49" s="53">
        <v>2.4</v>
      </c>
    </row>
  </sheetData>
  <sortState ref="B44:T46">
    <sortCondition ref="B44"/>
  </sortState>
  <mergeCells count="27">
    <mergeCell ref="F34:I34"/>
    <mergeCell ref="F35:I35"/>
    <mergeCell ref="B1:I1"/>
    <mergeCell ref="G3:I3"/>
    <mergeCell ref="D4:D5"/>
    <mergeCell ref="D6:D7"/>
    <mergeCell ref="G4:G5"/>
    <mergeCell ref="H4:H5"/>
    <mergeCell ref="G6:G7"/>
    <mergeCell ref="H6:H7"/>
    <mergeCell ref="B2:I2"/>
    <mergeCell ref="B38:D38"/>
    <mergeCell ref="E4:F4"/>
    <mergeCell ref="B4:B7"/>
    <mergeCell ref="C4:C5"/>
    <mergeCell ref="C6:C7"/>
    <mergeCell ref="B33:E33"/>
    <mergeCell ref="B34:E34"/>
    <mergeCell ref="B32:E32"/>
    <mergeCell ref="F38:I38"/>
    <mergeCell ref="B36:D36"/>
    <mergeCell ref="E36:I36"/>
    <mergeCell ref="F32:I32"/>
    <mergeCell ref="F33:I33"/>
    <mergeCell ref="E5:F5"/>
    <mergeCell ref="I4:I7"/>
    <mergeCell ref="B35:E35"/>
  </mergeCells>
  <printOptions horizontalCentered="1"/>
  <pageMargins left="0.70866141732283505" right="0.70866141732283505" top="0.6" bottom="0.55118110236220497" header="0.31496062992126" footer="0.31496062992126"/>
  <pageSetup paperSize="9" scale="87"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7030A0"/>
  </sheetPr>
  <dimension ref="A1:O46"/>
  <sheetViews>
    <sheetView rightToLeft="1" view="pageBreakPreview" zoomScale="110" zoomScaleSheetLayoutView="110" workbookViewId="0">
      <selection activeCell="D36" sqref="D36"/>
    </sheetView>
  </sheetViews>
  <sheetFormatPr defaultRowHeight="13.2"/>
  <cols>
    <col min="1" max="1" width="13.88671875" customWidth="1"/>
    <col min="2" max="2" width="3.33203125" customWidth="1"/>
    <col min="3" max="3" width="20.88671875" customWidth="1"/>
    <col min="4" max="4" width="15.109375" customWidth="1"/>
    <col min="5" max="5" width="16.109375" hidden="1" customWidth="1"/>
    <col min="6" max="6" width="15" customWidth="1"/>
    <col min="7" max="7" width="14.88671875" customWidth="1"/>
  </cols>
  <sheetData>
    <row r="1" spans="1:15" ht="30" customHeight="1">
      <c r="A1" s="497" t="s">
        <v>52</v>
      </c>
      <c r="B1" s="497"/>
      <c r="C1" s="497"/>
      <c r="D1" s="497"/>
      <c r="E1" s="497"/>
      <c r="F1" s="497"/>
      <c r="G1" s="497"/>
    </row>
    <row r="2" spans="1:15" s="53" customFormat="1" ht="25.5" customHeight="1">
      <c r="A2" s="498" t="s">
        <v>324</v>
      </c>
      <c r="B2" s="498"/>
      <c r="C2" s="498"/>
      <c r="D2" s="498"/>
      <c r="E2" s="498"/>
      <c r="F2" s="498"/>
      <c r="G2" s="498"/>
    </row>
    <row r="3" spans="1:15" ht="28.5" customHeight="1" thickBot="1">
      <c r="A3" s="308" t="s">
        <v>64</v>
      </c>
      <c r="C3" s="67"/>
      <c r="F3" s="521" t="s">
        <v>229</v>
      </c>
      <c r="G3" s="522"/>
    </row>
    <row r="4" spans="1:15" ht="35.25" customHeight="1" thickTop="1">
      <c r="A4" s="466" t="s">
        <v>16</v>
      </c>
      <c r="B4" s="294"/>
      <c r="C4" s="311" t="s">
        <v>54</v>
      </c>
      <c r="D4" s="311" t="s">
        <v>46</v>
      </c>
      <c r="F4" s="460"/>
      <c r="G4" s="449" t="s">
        <v>230</v>
      </c>
    </row>
    <row r="5" spans="1:15" s="53" customFormat="1" ht="30.75" customHeight="1">
      <c r="A5" s="468"/>
      <c r="B5" s="295"/>
      <c r="C5" s="362" t="s">
        <v>231</v>
      </c>
      <c r="D5" s="362" t="s">
        <v>232</v>
      </c>
      <c r="F5" s="490"/>
      <c r="G5" s="451"/>
    </row>
    <row r="6" spans="1:15" ht="35.1" customHeight="1">
      <c r="A6" s="525" t="s">
        <v>37</v>
      </c>
      <c r="B6" s="525"/>
      <c r="C6" s="307" t="s">
        <v>23</v>
      </c>
      <c r="D6" s="305">
        <v>5724000</v>
      </c>
      <c r="E6" s="2"/>
      <c r="F6" s="373" t="s">
        <v>238</v>
      </c>
      <c r="G6" s="523" t="s">
        <v>233</v>
      </c>
    </row>
    <row r="7" spans="1:15" s="10" customFormat="1" ht="35.1" customHeight="1">
      <c r="A7" s="526"/>
      <c r="B7" s="526"/>
      <c r="C7" s="303" t="s">
        <v>20</v>
      </c>
      <c r="D7" s="306">
        <v>2612000</v>
      </c>
      <c r="E7" s="9"/>
      <c r="F7" s="377" t="s">
        <v>239</v>
      </c>
      <c r="G7" s="524"/>
    </row>
    <row r="8" spans="1:15" ht="35.1" customHeight="1">
      <c r="A8" s="526" t="s">
        <v>38</v>
      </c>
      <c r="B8" s="526"/>
      <c r="C8" s="302" t="s">
        <v>22</v>
      </c>
      <c r="D8" s="534">
        <v>18764000</v>
      </c>
      <c r="F8" s="377" t="s">
        <v>238</v>
      </c>
      <c r="G8" s="528" t="s">
        <v>234</v>
      </c>
      <c r="I8" s="52"/>
      <c r="J8" s="52"/>
      <c r="K8" s="52"/>
      <c r="L8" s="52"/>
      <c r="M8" s="52"/>
      <c r="N8" s="52"/>
      <c r="O8" s="52"/>
    </row>
    <row r="9" spans="1:15" s="10" customFormat="1" ht="35.1" customHeight="1">
      <c r="A9" s="526"/>
      <c r="B9" s="526"/>
      <c r="C9" s="303" t="s">
        <v>21</v>
      </c>
      <c r="D9" s="535"/>
      <c r="F9" s="377" t="s">
        <v>239</v>
      </c>
      <c r="G9" s="524"/>
    </row>
    <row r="10" spans="1:15" ht="35.1" customHeight="1">
      <c r="A10" s="526" t="s">
        <v>30</v>
      </c>
      <c r="B10" s="526"/>
      <c r="C10" s="303" t="s">
        <v>22</v>
      </c>
      <c r="D10" s="309">
        <v>5288000</v>
      </c>
      <c r="F10" s="377" t="s">
        <v>238</v>
      </c>
      <c r="G10" s="529" t="s">
        <v>235</v>
      </c>
    </row>
    <row r="11" spans="1:15" s="10" customFormat="1" ht="35.1" customHeight="1">
      <c r="A11" s="526"/>
      <c r="B11" s="526"/>
      <c r="C11" s="304" t="s">
        <v>21</v>
      </c>
      <c r="D11" s="309">
        <v>26716000</v>
      </c>
      <c r="F11" s="374" t="s">
        <v>239</v>
      </c>
      <c r="G11" s="530"/>
    </row>
    <row r="12" spans="1:15" ht="35.1" customHeight="1">
      <c r="A12" s="526" t="s">
        <v>31</v>
      </c>
      <c r="B12" s="526"/>
      <c r="C12" s="302" t="s">
        <v>32</v>
      </c>
      <c r="D12" s="306">
        <v>67084000</v>
      </c>
      <c r="F12" s="375" t="s">
        <v>240</v>
      </c>
      <c r="G12" s="529" t="s">
        <v>236</v>
      </c>
    </row>
    <row r="13" spans="1:15" s="10" customFormat="1" ht="35.1" customHeight="1" thickBot="1">
      <c r="A13" s="533"/>
      <c r="B13" s="533"/>
      <c r="C13" s="302" t="s">
        <v>33</v>
      </c>
      <c r="D13" s="310">
        <v>34400000</v>
      </c>
      <c r="F13" s="376" t="s">
        <v>241</v>
      </c>
      <c r="G13" s="531"/>
    </row>
    <row r="14" spans="1:15" ht="44.25" customHeight="1" thickTop="1" thickBot="1">
      <c r="A14" s="520" t="s">
        <v>45</v>
      </c>
      <c r="B14" s="520"/>
      <c r="C14" s="520"/>
      <c r="D14" s="136">
        <f>SUM(D6:D13)</f>
        <v>160588000</v>
      </c>
      <c r="E14" s="61"/>
      <c r="F14" s="532" t="s">
        <v>237</v>
      </c>
      <c r="G14" s="532"/>
    </row>
    <row r="15" spans="1:15" s="53" customFormat="1" ht="9.75" customHeight="1" thickTop="1">
      <c r="A15" s="112"/>
      <c r="B15" s="112"/>
      <c r="C15" s="112"/>
      <c r="D15" s="113"/>
      <c r="E15" s="1"/>
    </row>
    <row r="16" spans="1:15" s="24" customFormat="1" ht="45.6" customHeight="1">
      <c r="A16" s="491" t="s">
        <v>347</v>
      </c>
      <c r="B16" s="491"/>
      <c r="C16" s="491"/>
      <c r="D16" s="455" t="s">
        <v>348</v>
      </c>
      <c r="E16" s="455"/>
      <c r="F16" s="455"/>
      <c r="G16" s="455"/>
    </row>
    <row r="17" spans="1:7" s="36" customFormat="1" ht="37.200000000000003" customHeight="1">
      <c r="A17" s="491" t="s">
        <v>169</v>
      </c>
      <c r="B17" s="491"/>
      <c r="C17" s="491"/>
      <c r="D17" s="455" t="s">
        <v>198</v>
      </c>
      <c r="E17" s="455"/>
      <c r="F17" s="455"/>
      <c r="G17" s="455"/>
    </row>
    <row r="18" spans="1:7" s="36" customFormat="1" ht="99.75" customHeight="1">
      <c r="A18" s="19"/>
      <c r="B18" s="19"/>
      <c r="C18" s="19"/>
      <c r="D18" s="19"/>
    </row>
    <row r="19" spans="1:7" s="36" customFormat="1" ht="56.25" customHeight="1">
      <c r="A19" s="19"/>
      <c r="B19" s="19"/>
      <c r="C19" s="19"/>
      <c r="D19" s="19"/>
    </row>
    <row r="20" spans="1:7" s="36" customFormat="1" ht="71.25" customHeight="1">
      <c r="A20" s="19"/>
      <c r="B20" s="19"/>
      <c r="C20" s="19"/>
      <c r="D20" s="19"/>
    </row>
    <row r="21" spans="1:7" s="36" customFormat="1" ht="36.75" customHeight="1">
      <c r="A21" s="19"/>
      <c r="B21" s="19"/>
      <c r="C21" s="19"/>
      <c r="D21" s="19"/>
    </row>
    <row r="22" spans="1:7" s="45" customFormat="1" ht="30" customHeight="1">
      <c r="A22" s="19"/>
      <c r="B22" s="19"/>
      <c r="C22" s="19"/>
      <c r="D22" s="19"/>
    </row>
    <row r="23" spans="1:7" s="36" customFormat="1" ht="7.5" customHeight="1">
      <c r="A23" s="19"/>
      <c r="B23" s="19"/>
      <c r="C23" s="19"/>
      <c r="D23" s="19"/>
    </row>
    <row r="24" spans="1:7" ht="13.5" customHeight="1">
      <c r="A24" s="519"/>
      <c r="B24" s="519"/>
      <c r="C24" s="519"/>
      <c r="D24" s="519"/>
      <c r="E24" s="2"/>
    </row>
    <row r="25" spans="1:7" s="16" customFormat="1" ht="22.5" customHeight="1">
      <c r="A25" s="480" t="s">
        <v>35</v>
      </c>
      <c r="B25" s="480"/>
      <c r="C25" s="480"/>
      <c r="D25" s="352">
        <v>21</v>
      </c>
      <c r="E25" s="17"/>
      <c r="F25" s="527" t="s">
        <v>200</v>
      </c>
      <c r="G25" s="527"/>
    </row>
    <row r="46" spans="1:5">
      <c r="A46" s="491"/>
      <c r="B46" s="491"/>
      <c r="C46" s="491"/>
      <c r="D46" s="491"/>
      <c r="E46" s="491"/>
    </row>
  </sheetData>
  <mergeCells count="25">
    <mergeCell ref="F25:G25"/>
    <mergeCell ref="D16:G16"/>
    <mergeCell ref="D17:G17"/>
    <mergeCell ref="A4:A5"/>
    <mergeCell ref="G8:G9"/>
    <mergeCell ref="G10:G11"/>
    <mergeCell ref="G12:G13"/>
    <mergeCell ref="F14:G14"/>
    <mergeCell ref="A8:B9"/>
    <mergeCell ref="A10:B11"/>
    <mergeCell ref="A12:B13"/>
    <mergeCell ref="D8:D9"/>
    <mergeCell ref="A1:G1"/>
    <mergeCell ref="G4:G5"/>
    <mergeCell ref="F4:F5"/>
    <mergeCell ref="F3:G3"/>
    <mergeCell ref="G6:G7"/>
    <mergeCell ref="A6:B7"/>
    <mergeCell ref="A2:G2"/>
    <mergeCell ref="A46:E46"/>
    <mergeCell ref="A24:D24"/>
    <mergeCell ref="A25:C25"/>
    <mergeCell ref="A14:C14"/>
    <mergeCell ref="A17:C17"/>
    <mergeCell ref="A16:C16"/>
  </mergeCells>
  <phoneticPr fontId="5" type="noConversion"/>
  <printOptions horizontalCentered="1"/>
  <pageMargins left="0.7" right="0.7" top="0.59055118110236204" bottom="0.196850393700787" header="0" footer="0"/>
  <pageSetup paperSize="9" scale="9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7" tint="-0.499984740745262"/>
  </sheetPr>
  <dimension ref="A1:J31"/>
  <sheetViews>
    <sheetView rightToLeft="1" view="pageBreakPreview" zoomScale="130" zoomScaleSheetLayoutView="130" workbookViewId="0">
      <selection activeCell="F31" sqref="F31"/>
    </sheetView>
  </sheetViews>
  <sheetFormatPr defaultColWidth="9.109375" defaultRowHeight="13.2"/>
  <cols>
    <col min="1" max="1" width="1.6640625" style="53" customWidth="1"/>
    <col min="2" max="2" width="8.33203125" style="53" customWidth="1"/>
    <col min="3" max="3" width="12.88671875" style="53" customWidth="1"/>
    <col min="4" max="4" width="9.6640625" style="53" customWidth="1"/>
    <col min="5" max="5" width="11.109375" style="53" customWidth="1"/>
    <col min="6" max="6" width="11.33203125" style="53" customWidth="1"/>
    <col min="7" max="7" width="9.88671875" style="53" customWidth="1"/>
    <col min="8" max="8" width="10" style="53" customWidth="1"/>
    <col min="9" max="9" width="12.6640625" style="53" customWidth="1"/>
    <col min="10" max="10" width="12.5546875" style="53" customWidth="1"/>
    <col min="11" max="16384" width="9.109375" style="53"/>
  </cols>
  <sheetData>
    <row r="1" spans="1:10" ht="33" customHeight="1">
      <c r="B1" s="497" t="s">
        <v>170</v>
      </c>
      <c r="C1" s="497"/>
      <c r="D1" s="497"/>
      <c r="E1" s="497"/>
      <c r="F1" s="497"/>
      <c r="G1" s="497"/>
      <c r="H1" s="497"/>
      <c r="I1" s="497"/>
      <c r="J1" s="497"/>
    </row>
    <row r="2" spans="1:10" ht="31.2" customHeight="1">
      <c r="A2" s="540" t="s">
        <v>249</v>
      </c>
      <c r="B2" s="540"/>
      <c r="C2" s="540"/>
      <c r="D2" s="540"/>
      <c r="E2" s="540"/>
      <c r="F2" s="540"/>
      <c r="G2" s="540"/>
      <c r="H2" s="540"/>
      <c r="I2" s="540"/>
      <c r="J2" s="540"/>
    </row>
    <row r="3" spans="1:10" ht="28.8" customHeight="1" thickBot="1">
      <c r="B3" s="544" t="s">
        <v>65</v>
      </c>
      <c r="C3" s="544"/>
      <c r="D3" s="51"/>
      <c r="H3" s="111"/>
      <c r="I3" s="454" t="s">
        <v>245</v>
      </c>
      <c r="J3" s="454"/>
    </row>
    <row r="4" spans="1:10" ht="40.200000000000003" customHeight="1" thickTop="1">
      <c r="B4" s="466" t="s">
        <v>14</v>
      </c>
      <c r="C4" s="536" t="s">
        <v>349</v>
      </c>
      <c r="D4" s="460" t="s">
        <v>164</v>
      </c>
      <c r="E4" s="460"/>
      <c r="F4" s="460"/>
      <c r="G4" s="463" t="s">
        <v>350</v>
      </c>
      <c r="H4" s="463" t="s">
        <v>351</v>
      </c>
      <c r="I4" s="463" t="s">
        <v>112</v>
      </c>
      <c r="J4" s="449" t="s">
        <v>176</v>
      </c>
    </row>
    <row r="5" spans="1:10" ht="35.4" customHeight="1">
      <c r="B5" s="467"/>
      <c r="C5" s="537"/>
      <c r="D5" s="492" t="s">
        <v>250</v>
      </c>
      <c r="E5" s="492"/>
      <c r="F5" s="492"/>
      <c r="G5" s="538"/>
      <c r="H5" s="538"/>
      <c r="I5" s="538"/>
      <c r="J5" s="450"/>
    </row>
    <row r="6" spans="1:10" ht="27" customHeight="1">
      <c r="B6" s="467"/>
      <c r="C6" s="543" t="s">
        <v>352</v>
      </c>
      <c r="D6" s="167" t="s">
        <v>70</v>
      </c>
      <c r="E6" s="167" t="s">
        <v>71</v>
      </c>
      <c r="F6" s="167" t="s">
        <v>72</v>
      </c>
      <c r="G6" s="543" t="s">
        <v>353</v>
      </c>
      <c r="H6" s="543" t="s">
        <v>354</v>
      </c>
      <c r="I6" s="543" t="s">
        <v>244</v>
      </c>
      <c r="J6" s="450"/>
    </row>
    <row r="7" spans="1:10" ht="38.4" customHeight="1">
      <c r="B7" s="468"/>
      <c r="C7" s="543"/>
      <c r="D7" s="428" t="s">
        <v>242</v>
      </c>
      <c r="E7" s="428" t="s">
        <v>243</v>
      </c>
      <c r="F7" s="428" t="s">
        <v>192</v>
      </c>
      <c r="G7" s="543"/>
      <c r="H7" s="543"/>
      <c r="I7" s="543"/>
      <c r="J7" s="451"/>
    </row>
    <row r="8" spans="1:10" s="54" customFormat="1" ht="30" customHeight="1">
      <c r="B8" s="28" t="s">
        <v>15</v>
      </c>
      <c r="C8" s="117">
        <v>931000</v>
      </c>
      <c r="D8" s="117">
        <v>0</v>
      </c>
      <c r="E8" s="117">
        <v>285000</v>
      </c>
      <c r="F8" s="117">
        <f t="shared" ref="F8:F23" si="0">SUM(D8:E8)</f>
        <v>285000</v>
      </c>
      <c r="G8" s="117">
        <v>0</v>
      </c>
      <c r="H8" s="117">
        <f>C8-F8-G8</f>
        <v>646000</v>
      </c>
      <c r="I8" s="78">
        <f>F8/C8*100</f>
        <v>30.612244897959183</v>
      </c>
      <c r="J8" s="353" t="s">
        <v>177</v>
      </c>
    </row>
    <row r="9" spans="1:10" s="54" customFormat="1" ht="30" customHeight="1">
      <c r="B9" s="28" t="s">
        <v>1</v>
      </c>
      <c r="C9" s="117">
        <v>607100</v>
      </c>
      <c r="D9" s="117">
        <v>0</v>
      </c>
      <c r="E9" s="117">
        <v>466300</v>
      </c>
      <c r="F9" s="117">
        <f t="shared" si="0"/>
        <v>466300</v>
      </c>
      <c r="G9" s="117">
        <v>14200</v>
      </c>
      <c r="H9" s="117">
        <f t="shared" ref="H9:H22" si="1">C9-F9-G9</f>
        <v>126600</v>
      </c>
      <c r="I9" s="78">
        <f t="shared" ref="I9:I23" si="2">F9/C9*100</f>
        <v>76.807774666447045</v>
      </c>
      <c r="J9" s="354" t="s">
        <v>178</v>
      </c>
    </row>
    <row r="10" spans="1:10" s="54" customFormat="1" ht="30" customHeight="1">
      <c r="B10" s="28" t="s">
        <v>2</v>
      </c>
      <c r="C10" s="117">
        <v>1475900</v>
      </c>
      <c r="D10" s="117">
        <v>0</v>
      </c>
      <c r="E10" s="117">
        <v>904700</v>
      </c>
      <c r="F10" s="117">
        <f t="shared" si="0"/>
        <v>904700</v>
      </c>
      <c r="G10" s="117">
        <v>4800</v>
      </c>
      <c r="H10" s="117">
        <f t="shared" si="1"/>
        <v>566400</v>
      </c>
      <c r="I10" s="78">
        <f t="shared" si="2"/>
        <v>61.298190934345143</v>
      </c>
      <c r="J10" s="355" t="s">
        <v>179</v>
      </c>
    </row>
    <row r="11" spans="1:10" s="54" customFormat="1" ht="30" customHeight="1">
      <c r="B11" s="28" t="s">
        <v>24</v>
      </c>
      <c r="C11" s="117">
        <v>447100</v>
      </c>
      <c r="D11" s="117">
        <v>111180</v>
      </c>
      <c r="E11" s="117">
        <v>129820</v>
      </c>
      <c r="F11" s="117">
        <f t="shared" si="0"/>
        <v>241000</v>
      </c>
      <c r="G11" s="117">
        <v>10000</v>
      </c>
      <c r="H11" s="117">
        <f t="shared" si="1"/>
        <v>196100</v>
      </c>
      <c r="I11" s="78">
        <f t="shared" si="2"/>
        <v>53.902929993290094</v>
      </c>
      <c r="J11" s="355" t="s">
        <v>180</v>
      </c>
    </row>
    <row r="12" spans="1:10" s="54" customFormat="1" ht="30" customHeight="1">
      <c r="B12" s="29" t="s">
        <v>3</v>
      </c>
      <c r="C12" s="30">
        <v>1080200</v>
      </c>
      <c r="D12" s="117">
        <v>380126</v>
      </c>
      <c r="E12" s="117">
        <v>420274</v>
      </c>
      <c r="F12" s="117">
        <f t="shared" si="0"/>
        <v>800400</v>
      </c>
      <c r="G12" s="117">
        <v>0</v>
      </c>
      <c r="H12" s="117">
        <f t="shared" si="1"/>
        <v>279800</v>
      </c>
      <c r="I12" s="78">
        <f t="shared" si="2"/>
        <v>74.097389372338455</v>
      </c>
      <c r="J12" s="354" t="s">
        <v>181</v>
      </c>
    </row>
    <row r="13" spans="1:10" s="54" customFormat="1" ht="30" customHeight="1">
      <c r="B13" s="29" t="s">
        <v>4</v>
      </c>
      <c r="C13" s="30">
        <v>1411700</v>
      </c>
      <c r="D13" s="117">
        <v>428662</v>
      </c>
      <c r="E13" s="117">
        <v>96338</v>
      </c>
      <c r="F13" s="117">
        <f t="shared" si="0"/>
        <v>525000</v>
      </c>
      <c r="G13" s="117">
        <v>22500</v>
      </c>
      <c r="H13" s="117">
        <f t="shared" si="1"/>
        <v>864200</v>
      </c>
      <c r="I13" s="78">
        <f t="shared" si="2"/>
        <v>37.18920450520649</v>
      </c>
      <c r="J13" s="354" t="s">
        <v>182</v>
      </c>
    </row>
    <row r="14" spans="1:10" s="54" customFormat="1" ht="30" customHeight="1">
      <c r="B14" s="29" t="s">
        <v>5</v>
      </c>
      <c r="C14" s="117">
        <v>206100</v>
      </c>
      <c r="D14" s="117">
        <v>20000</v>
      </c>
      <c r="E14" s="117">
        <v>74600</v>
      </c>
      <c r="F14" s="117">
        <f t="shared" si="0"/>
        <v>94600</v>
      </c>
      <c r="G14" s="117">
        <v>48400</v>
      </c>
      <c r="H14" s="117">
        <f t="shared" si="1"/>
        <v>63100</v>
      </c>
      <c r="I14" s="78">
        <f t="shared" si="2"/>
        <v>45.900048520135854</v>
      </c>
      <c r="J14" s="355" t="s">
        <v>183</v>
      </c>
    </row>
    <row r="15" spans="1:10" s="54" customFormat="1" ht="30" customHeight="1">
      <c r="B15" s="29" t="s">
        <v>6</v>
      </c>
      <c r="C15" s="117">
        <v>2027200</v>
      </c>
      <c r="D15" s="117">
        <v>413907</v>
      </c>
      <c r="E15" s="117">
        <v>511593</v>
      </c>
      <c r="F15" s="117">
        <f t="shared" si="0"/>
        <v>925500</v>
      </c>
      <c r="G15" s="117">
        <v>39500</v>
      </c>
      <c r="H15" s="117">
        <f t="shared" si="1"/>
        <v>1062200</v>
      </c>
      <c r="I15" s="78">
        <f t="shared" si="2"/>
        <v>45.654104183109709</v>
      </c>
      <c r="J15" s="354" t="s">
        <v>184</v>
      </c>
    </row>
    <row r="16" spans="1:10" s="54" customFormat="1" ht="30" customHeight="1">
      <c r="B16" s="29" t="s">
        <v>7</v>
      </c>
      <c r="C16" s="117">
        <v>780000</v>
      </c>
      <c r="D16" s="117">
        <v>169300</v>
      </c>
      <c r="E16" s="117">
        <v>205700</v>
      </c>
      <c r="F16" s="117">
        <f t="shared" si="0"/>
        <v>375000</v>
      </c>
      <c r="G16" s="117">
        <v>0</v>
      </c>
      <c r="H16" s="117">
        <f t="shared" si="1"/>
        <v>405000</v>
      </c>
      <c r="I16" s="78">
        <f t="shared" si="2"/>
        <v>48.07692307692308</v>
      </c>
      <c r="J16" s="355" t="s">
        <v>185</v>
      </c>
    </row>
    <row r="17" spans="2:10" s="54" customFormat="1" ht="30" customHeight="1">
      <c r="B17" s="29" t="s">
        <v>8</v>
      </c>
      <c r="C17" s="30">
        <v>236500</v>
      </c>
      <c r="D17" s="117">
        <v>8500</v>
      </c>
      <c r="E17" s="117">
        <v>20600</v>
      </c>
      <c r="F17" s="117">
        <f t="shared" si="0"/>
        <v>29100</v>
      </c>
      <c r="G17" s="117">
        <v>21200</v>
      </c>
      <c r="H17" s="117">
        <f t="shared" si="1"/>
        <v>186200</v>
      </c>
      <c r="I17" s="78">
        <f t="shared" si="2"/>
        <v>12.304439746300211</v>
      </c>
      <c r="J17" s="355" t="s">
        <v>186</v>
      </c>
    </row>
    <row r="18" spans="2:10" s="54" customFormat="1" ht="30" customHeight="1">
      <c r="B18" s="29" t="s">
        <v>9</v>
      </c>
      <c r="C18" s="30">
        <v>1372000</v>
      </c>
      <c r="D18" s="117">
        <v>142450</v>
      </c>
      <c r="E18" s="117">
        <v>151600</v>
      </c>
      <c r="F18" s="117">
        <f t="shared" si="0"/>
        <v>294050</v>
      </c>
      <c r="G18" s="117">
        <v>43300</v>
      </c>
      <c r="H18" s="117">
        <f t="shared" si="1"/>
        <v>1034650</v>
      </c>
      <c r="I18" s="78">
        <f t="shared" si="2"/>
        <v>21.432215743440235</v>
      </c>
      <c r="J18" s="354" t="s">
        <v>187</v>
      </c>
    </row>
    <row r="19" spans="2:10" s="54" customFormat="1" ht="30" customHeight="1">
      <c r="B19" s="29" t="s">
        <v>10</v>
      </c>
      <c r="C19" s="30">
        <v>328000</v>
      </c>
      <c r="D19" s="117">
        <v>0</v>
      </c>
      <c r="E19" s="117">
        <v>30000</v>
      </c>
      <c r="F19" s="117">
        <f t="shared" si="0"/>
        <v>30000</v>
      </c>
      <c r="G19" s="117">
        <v>18000</v>
      </c>
      <c r="H19" s="117">
        <f t="shared" si="1"/>
        <v>280000</v>
      </c>
      <c r="I19" s="78">
        <f>F19/C19*100</f>
        <v>9.1463414634146343</v>
      </c>
      <c r="J19" s="355" t="s">
        <v>188</v>
      </c>
    </row>
    <row r="20" spans="2:10" s="54" customFormat="1" ht="30" customHeight="1">
      <c r="B20" s="29" t="s">
        <v>11</v>
      </c>
      <c r="C20" s="30">
        <v>858500</v>
      </c>
      <c r="D20" s="117">
        <v>0</v>
      </c>
      <c r="E20" s="117">
        <v>234000</v>
      </c>
      <c r="F20" s="117">
        <f t="shared" si="0"/>
        <v>234000</v>
      </c>
      <c r="G20" s="117">
        <v>4000</v>
      </c>
      <c r="H20" s="117">
        <f t="shared" si="1"/>
        <v>620500</v>
      </c>
      <c r="I20" s="78">
        <f t="shared" si="2"/>
        <v>27.256843331391963</v>
      </c>
      <c r="J20" s="355" t="s">
        <v>189</v>
      </c>
    </row>
    <row r="21" spans="2:10" s="54" customFormat="1" ht="30" customHeight="1">
      <c r="B21" s="29" t="s">
        <v>12</v>
      </c>
      <c r="C21" s="30">
        <v>779000</v>
      </c>
      <c r="D21" s="117">
        <v>41000</v>
      </c>
      <c r="E21" s="117">
        <v>29000</v>
      </c>
      <c r="F21" s="117">
        <f t="shared" si="0"/>
        <v>70000</v>
      </c>
      <c r="G21" s="117">
        <v>35000</v>
      </c>
      <c r="H21" s="117">
        <f t="shared" si="1"/>
        <v>674000</v>
      </c>
      <c r="I21" s="78">
        <f t="shared" si="2"/>
        <v>8.9858793324775359</v>
      </c>
      <c r="J21" s="356" t="s">
        <v>190</v>
      </c>
    </row>
    <row r="22" spans="2:10" s="54" customFormat="1" ht="30" customHeight="1">
      <c r="B22" s="31" t="s">
        <v>13</v>
      </c>
      <c r="C22" s="118">
        <v>220000</v>
      </c>
      <c r="D22" s="117">
        <v>15000</v>
      </c>
      <c r="E22" s="117">
        <v>0</v>
      </c>
      <c r="F22" s="124">
        <f t="shared" si="0"/>
        <v>15000</v>
      </c>
      <c r="G22" s="117">
        <v>5000</v>
      </c>
      <c r="H22" s="117">
        <f t="shared" si="1"/>
        <v>200000</v>
      </c>
      <c r="I22" s="78">
        <f t="shared" si="2"/>
        <v>6.8181818181818175</v>
      </c>
      <c r="J22" s="357" t="s">
        <v>191</v>
      </c>
    </row>
    <row r="23" spans="2:10" ht="30" customHeight="1" thickBot="1">
      <c r="B23" s="122" t="s">
        <v>28</v>
      </c>
      <c r="C23" s="123">
        <f>SUM(C8:C22)</f>
        <v>12760300</v>
      </c>
      <c r="D23" s="123">
        <f>SUM(D8:D22)</f>
        <v>1730125</v>
      </c>
      <c r="E23" s="123">
        <f>SUM(E8:E22)</f>
        <v>3559525</v>
      </c>
      <c r="F23" s="123">
        <f t="shared" si="0"/>
        <v>5289650</v>
      </c>
      <c r="G23" s="123">
        <f>SUM(G8:G22)</f>
        <v>265900</v>
      </c>
      <c r="H23" s="123">
        <f>SUM(H8:H22)</f>
        <v>7204750</v>
      </c>
      <c r="I23" s="125">
        <f t="shared" si="2"/>
        <v>41.453962681128189</v>
      </c>
      <c r="J23" s="216" t="s">
        <v>192</v>
      </c>
    </row>
    <row r="24" spans="2:10" ht="7.5" hidden="1" customHeight="1" thickTop="1">
      <c r="B24" s="116"/>
      <c r="C24" s="116"/>
      <c r="D24" s="116"/>
      <c r="E24" s="116"/>
      <c r="F24" s="116"/>
      <c r="G24" s="116"/>
      <c r="H24" s="116"/>
      <c r="I24" s="116"/>
    </row>
    <row r="25" spans="2:10" ht="3.75" hidden="1" customHeight="1" thickTop="1">
      <c r="B25" s="116"/>
      <c r="C25" s="116"/>
      <c r="D25" s="116"/>
      <c r="E25" s="116"/>
      <c r="F25" s="116"/>
      <c r="G25" s="116"/>
      <c r="H25" s="116"/>
      <c r="I25" s="116"/>
    </row>
    <row r="26" spans="2:10" ht="4.5" hidden="1" customHeight="1">
      <c r="B26" s="116"/>
      <c r="C26" s="116"/>
      <c r="D26" s="116"/>
      <c r="E26" s="116"/>
      <c r="F26" s="116"/>
      <c r="G26" s="116"/>
      <c r="H26" s="116"/>
      <c r="I26" s="116"/>
    </row>
    <row r="27" spans="2:10" ht="70.8" customHeight="1" thickTop="1">
      <c r="B27" s="542" t="s">
        <v>345</v>
      </c>
      <c r="C27" s="542"/>
      <c r="D27" s="542"/>
      <c r="E27" s="542"/>
      <c r="F27" s="541" t="s">
        <v>251</v>
      </c>
      <c r="G27" s="541"/>
      <c r="H27" s="541"/>
      <c r="I27" s="541"/>
      <c r="J27" s="541"/>
    </row>
    <row r="28" spans="2:10" ht="59.4" customHeight="1">
      <c r="B28" s="542" t="s">
        <v>332</v>
      </c>
      <c r="C28" s="542"/>
      <c r="D28" s="542"/>
      <c r="E28" s="542"/>
      <c r="F28" s="541" t="s">
        <v>325</v>
      </c>
      <c r="G28" s="541"/>
      <c r="H28" s="541"/>
      <c r="I28" s="541"/>
      <c r="J28" s="541"/>
    </row>
    <row r="29" spans="2:10" ht="28.8" customHeight="1">
      <c r="B29" s="452" t="s">
        <v>73</v>
      </c>
      <c r="C29" s="452"/>
      <c r="D29" s="452"/>
      <c r="E29" s="452"/>
      <c r="F29" s="539" t="s">
        <v>246</v>
      </c>
      <c r="G29" s="539"/>
      <c r="H29" s="539"/>
      <c r="I29" s="539"/>
      <c r="J29" s="539"/>
    </row>
    <row r="30" spans="2:10" ht="8.4" customHeight="1">
      <c r="B30" s="115"/>
      <c r="C30" s="115"/>
      <c r="D30" s="115"/>
      <c r="E30" s="115"/>
      <c r="F30" s="115"/>
      <c r="G30" s="115"/>
      <c r="H30" s="115"/>
      <c r="I30" s="115"/>
    </row>
    <row r="31" spans="2:10" ht="21" customHeight="1">
      <c r="B31" s="480" t="s">
        <v>35</v>
      </c>
      <c r="C31" s="480"/>
      <c r="D31" s="480"/>
      <c r="E31" s="480"/>
      <c r="F31" s="352">
        <v>22</v>
      </c>
      <c r="G31" s="494" t="s">
        <v>200</v>
      </c>
      <c r="H31" s="494"/>
      <c r="I31" s="494"/>
      <c r="J31" s="494"/>
    </row>
  </sheetData>
  <mergeCells count="24">
    <mergeCell ref="B1:J1"/>
    <mergeCell ref="A2:J2"/>
    <mergeCell ref="F27:J27"/>
    <mergeCell ref="F28:J28"/>
    <mergeCell ref="J4:J7"/>
    <mergeCell ref="B27:E27"/>
    <mergeCell ref="B28:E28"/>
    <mergeCell ref="D5:F5"/>
    <mergeCell ref="I3:J3"/>
    <mergeCell ref="I4:I5"/>
    <mergeCell ref="G6:G7"/>
    <mergeCell ref="H6:H7"/>
    <mergeCell ref="I6:I7"/>
    <mergeCell ref="C6:C7"/>
    <mergeCell ref="H4:H5"/>
    <mergeCell ref="B3:C3"/>
    <mergeCell ref="B31:E31"/>
    <mergeCell ref="D4:F4"/>
    <mergeCell ref="B4:B7"/>
    <mergeCell ref="C4:C5"/>
    <mergeCell ref="G4:G5"/>
    <mergeCell ref="G31:J31"/>
    <mergeCell ref="B29:E29"/>
    <mergeCell ref="F29:J29"/>
  </mergeCells>
  <printOptions horizontalCentered="1"/>
  <pageMargins left="0.70866141732283505" right="0.70866141732283505" top="0.5" bottom="0.55118110236220497" header="0.31496062992126" footer="0.31496062992126"/>
  <pageSetup paperSize="9" scale="8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12</vt:i4>
      </vt:variant>
    </vt:vector>
  </HeadingPairs>
  <TitlesOfParts>
    <vt:vector size="27" baseType="lpstr">
      <vt:lpstr>1أ</vt:lpstr>
      <vt:lpstr>1 ب (2)</vt:lpstr>
      <vt:lpstr>1ج</vt:lpstr>
      <vt:lpstr>1 د</vt:lpstr>
      <vt:lpstr>2</vt:lpstr>
      <vt:lpstr>3</vt:lpstr>
      <vt:lpstr>4</vt:lpstr>
      <vt:lpstr>5</vt:lpstr>
      <vt:lpstr>6</vt:lpstr>
      <vt:lpstr>7</vt:lpstr>
      <vt:lpstr>8</vt:lpstr>
      <vt:lpstr>9</vt:lpstr>
      <vt:lpstr>10</vt:lpstr>
      <vt:lpstr>Sheet1</vt:lpstr>
      <vt:lpstr>كمية المبيدات تفصيلي</vt:lpstr>
      <vt:lpstr>'1 ب (2)'!Print_Area</vt:lpstr>
      <vt:lpstr>'1 د'!Print_Area</vt:lpstr>
      <vt:lpstr>'1أ'!Print_Area</vt:lpstr>
      <vt:lpstr>'1ج'!Print_Area</vt:lpstr>
      <vt:lpstr>'2'!Print_Area</vt:lpstr>
      <vt:lpstr>'3'!Print_Area</vt:lpstr>
      <vt:lpstr>'4'!Print_Area</vt:lpstr>
      <vt:lpstr>'5'!Print_Area</vt:lpstr>
      <vt:lpstr>'6'!Print_Area</vt:lpstr>
      <vt:lpstr>'7'!Print_Area</vt:lpstr>
      <vt:lpstr>'8'!Print_Area</vt:lpstr>
      <vt:lpstr>'9'!Print_Area</vt:lpstr>
    </vt:vector>
  </TitlesOfParts>
  <Company>sahar computer center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Bsoli</dc:creator>
  <cp:lastModifiedBy>Shaymaa Fred</cp:lastModifiedBy>
  <cp:lastPrinted>2023-12-14T07:55:35Z</cp:lastPrinted>
  <dcterms:created xsi:type="dcterms:W3CDTF">2003-08-26T22:37:50Z</dcterms:created>
  <dcterms:modified xsi:type="dcterms:W3CDTF">2023-12-14T08:38:19Z</dcterms:modified>
</cp:coreProperties>
</file>